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BA\Fin\Research Administration\Website\Budget Samples\"/>
    </mc:Choice>
  </mc:AlternateContent>
  <xr:revisionPtr revIDLastSave="0" documentId="13_ncr:1_{553A0E0A-61D1-4A1B-858B-2DDF24F9AFD1}" xr6:coauthVersionLast="36" xr6:coauthVersionMax="36" xr10:uidLastSave="{00000000-0000-0000-0000-000000000000}"/>
  <bookViews>
    <workbookView xWindow="0" yWindow="0" windowWidth="19365" windowHeight="14325" xr2:uid="{00000000-000D-0000-FFFF-FFFF00000000}"/>
  </bookViews>
  <sheets>
    <sheet name="Fac. Acad. Time" sheetId="2" r:id="rId1"/>
  </sheets>
  <definedNames>
    <definedName name="_xlnm.Print_Titles" localSheetId="0">'Fac. Acad. Time'!$1:$7</definedName>
  </definedNames>
  <calcPr calcId="191029"/>
</workbook>
</file>

<file path=xl/calcChain.xml><?xml version="1.0" encoding="utf-8"?>
<calcChain xmlns="http://schemas.openxmlformats.org/spreadsheetml/2006/main">
  <c r="D58" i="2" l="1"/>
  <c r="I45" i="2"/>
  <c r="I44" i="2"/>
  <c r="E36" i="2"/>
  <c r="D36" i="2"/>
  <c r="D18" i="2"/>
  <c r="D13" i="2"/>
  <c r="D12" i="2"/>
  <c r="E58" i="2" l="1"/>
  <c r="C52" i="2"/>
  <c r="E47" i="2" s="1"/>
  <c r="C51" i="2"/>
  <c r="D23" i="2"/>
  <c r="E23" i="2"/>
  <c r="D30" i="2"/>
  <c r="E18" i="2"/>
  <c r="E13" i="2"/>
  <c r="F13" i="2"/>
  <c r="G13" i="2"/>
  <c r="H13" i="2" s="1"/>
  <c r="E12" i="2"/>
  <c r="F12" i="2" s="1"/>
  <c r="F77" i="2" s="1"/>
  <c r="D26" i="2"/>
  <c r="D29" i="2" s="1"/>
  <c r="I61" i="2"/>
  <c r="I56" i="2"/>
  <c r="I55" i="2"/>
  <c r="D39" i="2"/>
  <c r="E30" i="2"/>
  <c r="F23" i="2"/>
  <c r="D77" i="2"/>
  <c r="D78" i="2"/>
  <c r="D79" i="2" s="1"/>
  <c r="H47" i="2"/>
  <c r="E77" i="2"/>
  <c r="E78" i="2" s="1"/>
  <c r="F36" i="2"/>
  <c r="F39" i="2" s="1"/>
  <c r="E39" i="2"/>
  <c r="F58" i="2"/>
  <c r="G58" i="2"/>
  <c r="H58" i="2" s="1"/>
  <c r="D47" i="2"/>
  <c r="F47" i="2"/>
  <c r="G36" i="2" l="1"/>
  <c r="I47" i="2"/>
  <c r="G23" i="2"/>
  <c r="G47" i="2"/>
  <c r="F30" i="2"/>
  <c r="I58" i="2"/>
  <c r="E26" i="2"/>
  <c r="E29" i="2" s="1"/>
  <c r="E31" i="2" s="1"/>
  <c r="E41" i="2" s="1"/>
  <c r="E64" i="2" s="1"/>
  <c r="E67" i="2" s="1"/>
  <c r="F18" i="2"/>
  <c r="I13" i="2"/>
  <c r="F78" i="2"/>
  <c r="F79" i="2" s="1"/>
  <c r="F80" i="2" s="1"/>
  <c r="D80" i="2"/>
  <c r="D31" i="2"/>
  <c r="D41" i="2" s="1"/>
  <c r="D64" i="2" s="1"/>
  <c r="G12" i="2"/>
  <c r="E79" i="2"/>
  <c r="H36" i="2" l="1"/>
  <c r="G39" i="2"/>
  <c r="H23" i="2"/>
  <c r="H30" i="2" s="1"/>
  <c r="G30" i="2"/>
  <c r="I30" i="2" s="1"/>
  <c r="I23" i="2"/>
  <c r="G18" i="2"/>
  <c r="H18" i="2" s="1"/>
  <c r="F26" i="2"/>
  <c r="F29" i="2" s="1"/>
  <c r="F31" i="2" s="1"/>
  <c r="F41" i="2" s="1"/>
  <c r="F64" i="2" s="1"/>
  <c r="F67" i="2" s="1"/>
  <c r="F71" i="2" s="1"/>
  <c r="F72" i="2" s="1"/>
  <c r="E80" i="2"/>
  <c r="D67" i="2"/>
  <c r="H12" i="2"/>
  <c r="I12" i="2" s="1"/>
  <c r="G77" i="2"/>
  <c r="E71" i="2"/>
  <c r="E72" i="2" s="1"/>
  <c r="E68" i="2"/>
  <c r="F68" i="2" l="1"/>
  <c r="H39" i="2"/>
  <c r="I36" i="2"/>
  <c r="I39" i="2" s="1"/>
  <c r="G26" i="2"/>
  <c r="G29" i="2" s="1"/>
  <c r="G31" i="2" s="1"/>
  <c r="G41" i="2" s="1"/>
  <c r="G64" i="2" s="1"/>
  <c r="I18" i="2"/>
  <c r="I26" i="2"/>
  <c r="D68" i="2"/>
  <c r="D71" i="2"/>
  <c r="G78" i="2"/>
  <c r="F74" i="2"/>
  <c r="F82" i="2"/>
  <c r="E74" i="2"/>
  <c r="E82" i="2"/>
  <c r="H77" i="2"/>
  <c r="I77" i="2" s="1"/>
  <c r="H26" i="2"/>
  <c r="H29" i="2" s="1"/>
  <c r="H31" i="2" s="1"/>
  <c r="H41" i="2" s="1"/>
  <c r="H64" i="2" s="1"/>
  <c r="H67" i="2" l="1"/>
  <c r="D72" i="2"/>
  <c r="H78" i="2"/>
  <c r="H79" i="2" s="1"/>
  <c r="G79" i="2"/>
  <c r="I79" i="2" s="1"/>
  <c r="G67" i="2"/>
  <c r="I29" i="2"/>
  <c r="I31" i="2" s="1"/>
  <c r="I41" i="2" s="1"/>
  <c r="I64" i="2" s="1"/>
  <c r="H80" i="2" l="1"/>
  <c r="G80" i="2"/>
  <c r="I80" i="2" s="1"/>
  <c r="D74" i="2"/>
  <c r="D82" i="2"/>
  <c r="H68" i="2"/>
  <c r="H71" i="2"/>
  <c r="H72" i="2" s="1"/>
  <c r="G71" i="2"/>
  <c r="G68" i="2"/>
  <c r="I67" i="2"/>
  <c r="I68" i="2" s="1"/>
  <c r="I78" i="2"/>
  <c r="G72" i="2" l="1"/>
  <c r="I71" i="2"/>
  <c r="I72" i="2" s="1"/>
  <c r="I82" i="2" s="1"/>
  <c r="H74" i="2"/>
  <c r="H82" i="2"/>
  <c r="G74" i="2" l="1"/>
  <c r="I74" i="2" s="1"/>
  <c r="G82" i="2"/>
</calcChain>
</file>

<file path=xl/sharedStrings.xml><?xml version="1.0" encoding="utf-8"?>
<sst xmlns="http://schemas.openxmlformats.org/spreadsheetml/2006/main" count="106" uniqueCount="100">
  <si>
    <t>For USC Internal Use Only</t>
  </si>
  <si>
    <t>Rates</t>
  </si>
  <si>
    <t>Principal Investigator</t>
  </si>
  <si>
    <t>Total</t>
  </si>
  <si>
    <t>Total Direct Costs</t>
  </si>
  <si>
    <t>Co-Principal Investigator</t>
  </si>
  <si>
    <t>SALARIES</t>
  </si>
  <si>
    <t>5% effort, 12 months</t>
  </si>
  <si>
    <t>50% effort 1 summer month</t>
  </si>
  <si>
    <t>TOTAL SALARIES</t>
  </si>
  <si>
    <t>Total Compensation</t>
  </si>
  <si>
    <t>WAGES NOT SUBJECT TO FB</t>
  </si>
  <si>
    <t>Software additional supplies</t>
  </si>
  <si>
    <t>TRAVEL</t>
  </si>
  <si>
    <t>MATERIALS &amp; SUPPLIES</t>
  </si>
  <si>
    <t>Notes:</t>
  </si>
  <si>
    <t>Fringe Benefits</t>
  </si>
  <si>
    <t>Predetermined</t>
  </si>
  <si>
    <t>Provisional</t>
  </si>
  <si>
    <t>FRINGE BENEFITS</t>
  </si>
  <si>
    <t>Sally Trojan</t>
  </si>
  <si>
    <t>15% effort, 9 acad. Months</t>
  </si>
  <si>
    <t>Edward Bruin</t>
  </si>
  <si>
    <t>Post-Doc</t>
  </si>
  <si>
    <t>TBH</t>
  </si>
  <si>
    <t>50% effort, 12  months</t>
  </si>
  <si>
    <t>Graduate Research Assistant</t>
  </si>
  <si>
    <t>PI:  Sally Trojan</t>
  </si>
  <si>
    <t>TUITION REMISSION</t>
  </si>
  <si>
    <t>SUBAWARD</t>
  </si>
  <si>
    <t>UCLA (first $25,000)</t>
  </si>
  <si>
    <t xml:space="preserve">UCLA </t>
  </si>
  <si>
    <t>F &amp; A Base (Total Direct Costs less equipment and tuition and only first $25,000 of Subaward)</t>
  </si>
  <si>
    <t>EQUIPMENT</t>
  </si>
  <si>
    <t>High powered microbe filtration</t>
  </si>
  <si>
    <t>Less VSoE Cost Share</t>
  </si>
  <si>
    <t>Sally Trojan 15% acad. effort</t>
  </si>
  <si>
    <t>Total Cost Share</t>
  </si>
  <si>
    <t>TOTAL COST TO AGENCY</t>
  </si>
  <si>
    <t>Total Base</t>
  </si>
  <si>
    <t>.</t>
  </si>
  <si>
    <t>TOTAL FRINGE BENEFITS</t>
  </si>
  <si>
    <t>TOTAL WAGES</t>
  </si>
  <si>
    <t>Faculty &amp; Staff Provisional</t>
  </si>
  <si>
    <t>Faculty &amp; Staff Predetermined</t>
  </si>
  <si>
    <t>For PI and co-PI to attend agency meeting in Washington DC</t>
  </si>
  <si>
    <t>Airfare per preson</t>
  </si>
  <si>
    <t>Per Diem at $75/day/person for 4 days</t>
  </si>
  <si>
    <t>Meeting Registration per person</t>
  </si>
  <si>
    <t>Hotel 3 nights at $180/night/person</t>
  </si>
  <si>
    <t>TOTAL PROJECT COSTS</t>
  </si>
  <si>
    <t>07/01/16 - 06/30/2020</t>
  </si>
  <si>
    <t>07/01/20 - Future</t>
  </si>
  <si>
    <t>50% effort, 12 months</t>
  </si>
  <si>
    <t>10/01/22 to 09/30/23</t>
  </si>
  <si>
    <t>10/01/23 to 09/30/24</t>
  </si>
  <si>
    <t>10/01/24 to 09/30/25</t>
  </si>
  <si>
    <t>Cost Estimate:  Department of Energy</t>
  </si>
  <si>
    <t>F&amp;A (INDIRECT COSTS)</t>
  </si>
  <si>
    <t>F&amp;A</t>
  </si>
  <si>
    <t>Facilities and Administration/Indirect Cost Rates apply:</t>
  </si>
  <si>
    <t>Post-doc Predetermined</t>
  </si>
  <si>
    <t>Post-doc hired  Provisional</t>
  </si>
  <si>
    <t>Facilities and Administration/Indirect Costs</t>
  </si>
  <si>
    <t>FY 21 &amp; Future</t>
  </si>
  <si>
    <t>F &amp; A Base FY 21 &amp; Future</t>
  </si>
  <si>
    <t>Total F&amp;A Costs</t>
  </si>
  <si>
    <t>10/01/25 to 09/30/26</t>
  </si>
  <si>
    <t>WD Object Class Code</t>
  </si>
  <si>
    <t>Personnel_Subject_to_FB</t>
  </si>
  <si>
    <t>Faculty-Exempt Salary</t>
  </si>
  <si>
    <t>Postdoctoral Scholar Salary</t>
  </si>
  <si>
    <t>Fringe_Benefits</t>
  </si>
  <si>
    <t>Graduate Assistant</t>
  </si>
  <si>
    <t>Materials_Supplies</t>
  </si>
  <si>
    <t>Domestic_Travel</t>
  </si>
  <si>
    <t>Subaward (SC0600)</t>
  </si>
  <si>
    <t>Tuition_Aid</t>
  </si>
  <si>
    <t>Equipment</t>
  </si>
  <si>
    <t>Facilities_and_Administration</t>
  </si>
  <si>
    <t>Base Salary 21-22:  $160,000/9</t>
  </si>
  <si>
    <t>Base Salary 21-22:  $115,000/12</t>
  </si>
  <si>
    <t>An annual 4% increase was given to the 9 month faculty beginning August 16, 2022.</t>
  </si>
  <si>
    <t>An annual 4% increase was given to the 12 month faculty beginning July 1, 2022.</t>
  </si>
  <si>
    <t>Research Period October 1, 2022 to September  30, 2027</t>
  </si>
  <si>
    <t>10/01/26 to 09/30/27</t>
  </si>
  <si>
    <t>Base Salary 22-23:  $75,000/12</t>
  </si>
  <si>
    <t>Personnel_Not_Subject_to_FB</t>
  </si>
  <si>
    <t xml:space="preserve">Base Salary 22-23:  $76,000/12 </t>
  </si>
  <si>
    <t xml:space="preserve">Base Salary 23-24:  $80,000/12 </t>
  </si>
  <si>
    <t>Publication</t>
  </si>
  <si>
    <t>FY 23-6 units/year/RA @ $2,309/unit</t>
  </si>
  <si>
    <t>An annual 4% increase was given to the 12 post-doc beginning July 1, 2023.</t>
  </si>
  <si>
    <t>An annual 4% increase was given to the GRA beginning August 16, 2024.</t>
  </si>
  <si>
    <t>An annual 4% increase was added to the Tuition beginning August 16, 2023.</t>
  </si>
  <si>
    <t>Other_Direct_Costs (SC0317)</t>
  </si>
  <si>
    <t xml:space="preserve">  FY 23 &amp; Future</t>
  </si>
  <si>
    <t xml:space="preserve">Per the Federal Rate Agreement from June 15, 2022 the following Fringe Benefit and </t>
  </si>
  <si>
    <t>07/01/22 - 06/30/23</t>
  </si>
  <si>
    <t>07/01/23 - Future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</si>
</sst>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2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1" fillId="0" borderId="0" xfId="1" applyNumberFormat="1"/>
    <xf numFmtId="164" fontId="0" fillId="0" borderId="1" xfId="1" applyNumberFormat="1" applyFont="1" applyBorder="1"/>
    <xf numFmtId="0" fontId="4" fillId="0" borderId="0" xfId="0" applyFont="1"/>
    <xf numFmtId="164" fontId="2" fillId="0" borderId="2" xfId="1" applyNumberFormat="1" applyFont="1" applyBorder="1"/>
    <xf numFmtId="0" fontId="3" fillId="0" borderId="0" xfId="0" applyFont="1"/>
    <xf numFmtId="0" fontId="2" fillId="0" borderId="0" xfId="0" applyFont="1" applyAlignment="1"/>
    <xf numFmtId="0" fontId="0" fillId="0" borderId="0" xfId="0" applyAlignment="1"/>
    <xf numFmtId="0" fontId="0" fillId="0" borderId="0" xfId="0" applyBorder="1"/>
    <xf numFmtId="0" fontId="0" fillId="0" borderId="0" xfId="0" applyAlignment="1">
      <alignment wrapText="1"/>
    </xf>
    <xf numFmtId="164" fontId="2" fillId="0" borderId="3" xfId="1" applyNumberFormat="1" applyFont="1" applyBorder="1" applyAlignment="1">
      <alignment horizontal="center" wrapText="1"/>
    </xf>
    <xf numFmtId="164" fontId="0" fillId="0" borderId="0" xfId="1" applyNumberFormat="1" applyFont="1" applyBorder="1"/>
    <xf numFmtId="0" fontId="3" fillId="0" borderId="0" xfId="0" applyFont="1" applyBorder="1"/>
    <xf numFmtId="0" fontId="5" fillId="0" borderId="0" xfId="0" applyFont="1"/>
    <xf numFmtId="10" fontId="6" fillId="2" borderId="0" xfId="2" applyNumberFormat="1" applyFont="1" applyFill="1"/>
    <xf numFmtId="0" fontId="6" fillId="0" borderId="0" xfId="0" applyFont="1"/>
    <xf numFmtId="0" fontId="6" fillId="0" borderId="0" xfId="0" applyFont="1" applyBorder="1"/>
    <xf numFmtId="164" fontId="6" fillId="3" borderId="0" xfId="1" applyNumberFormat="1" applyFont="1" applyFill="1" applyBorder="1"/>
    <xf numFmtId="164" fontId="3" fillId="0" borderId="1" xfId="1" applyNumberFormat="1" applyFont="1" applyBorder="1"/>
    <xf numFmtId="0" fontId="3" fillId="0" borderId="0" xfId="0" applyFont="1" applyBorder="1" applyAlignment="1">
      <alignment wrapText="1"/>
    </xf>
    <xf numFmtId="164" fontId="2" fillId="0" borderId="0" xfId="1" applyNumberFormat="1" applyFont="1" applyBorder="1" applyAlignment="1">
      <alignment horizontal="center" wrapText="1"/>
    </xf>
    <xf numFmtId="10" fontId="5" fillId="0" borderId="0" xfId="2" applyNumberFormat="1" applyFont="1" applyAlignment="1"/>
    <xf numFmtId="10" fontId="5" fillId="0" borderId="0" xfId="2" applyNumberFormat="1" applyFont="1"/>
    <xf numFmtId="10" fontId="6" fillId="0" borderId="0" xfId="2" applyNumberFormat="1" applyFont="1"/>
    <xf numFmtId="10" fontId="6" fillId="0" borderId="3" xfId="2" applyNumberFormat="1" applyFont="1" applyBorder="1" applyAlignment="1">
      <alignment wrapText="1"/>
    </xf>
    <xf numFmtId="10" fontId="6" fillId="0" borderId="0" xfId="2" applyNumberFormat="1" applyFont="1" applyBorder="1" applyAlignment="1">
      <alignment wrapText="1"/>
    </xf>
    <xf numFmtId="10" fontId="6" fillId="3" borderId="0" xfId="2" applyNumberFormat="1" applyFont="1" applyFill="1"/>
    <xf numFmtId="10" fontId="7" fillId="0" borderId="0" xfId="2" applyNumberFormat="1" applyFont="1"/>
    <xf numFmtId="0" fontId="8" fillId="0" borderId="0" xfId="0" applyFont="1"/>
    <xf numFmtId="10" fontId="9" fillId="0" borderId="0" xfId="2" applyNumberFormat="1" applyFont="1"/>
    <xf numFmtId="0" fontId="10" fillId="0" borderId="0" xfId="0" applyFont="1"/>
    <xf numFmtId="0" fontId="10" fillId="0" borderId="0" xfId="0" applyFont="1" applyBorder="1"/>
    <xf numFmtId="0" fontId="11" fillId="0" borderId="0" xfId="0" applyFont="1"/>
    <xf numFmtId="0" fontId="2" fillId="0" borderId="0" xfId="0" applyFont="1" applyBorder="1" applyAlignment="1">
      <alignment wrapText="1"/>
    </xf>
    <xf numFmtId="0" fontId="11" fillId="0" borderId="0" xfId="0" applyFont="1" applyBorder="1"/>
    <xf numFmtId="164" fontId="0" fillId="0" borderId="3" xfId="1" applyNumberFormat="1" applyFont="1" applyBorder="1"/>
    <xf numFmtId="164" fontId="3" fillId="0" borderId="0" xfId="1" applyNumberFormat="1" applyFont="1"/>
    <xf numFmtId="164" fontId="12" fillId="0" borderId="0" xfId="1" applyNumberFormat="1" applyFont="1"/>
    <xf numFmtId="164" fontId="3" fillId="0" borderId="0" xfId="1" applyNumberFormat="1" applyFont="1" applyBorder="1" applyAlignment="1">
      <alignment horizontal="center" wrapText="1"/>
    </xf>
    <xf numFmtId="164" fontId="3" fillId="0" borderId="3" xfId="1" applyNumberFormat="1" applyFont="1" applyBorder="1"/>
    <xf numFmtId="43" fontId="12" fillId="0" borderId="0" xfId="1" applyNumberFormat="1" applyFont="1"/>
    <xf numFmtId="0" fontId="12" fillId="0" borderId="0" xfId="0" applyFont="1"/>
    <xf numFmtId="164" fontId="12" fillId="0" borderId="1" xfId="1" applyNumberFormat="1" applyFont="1" applyBorder="1"/>
    <xf numFmtId="0" fontId="3" fillId="0" borderId="0" xfId="0" applyFont="1" applyFill="1" applyAlignment="1">
      <alignment horizontal="left" indent="1"/>
    </xf>
    <xf numFmtId="10" fontId="6" fillId="0" borderId="0" xfId="2" applyNumberFormat="1" applyFont="1" applyFill="1"/>
    <xf numFmtId="164" fontId="6" fillId="0" borderId="1" xfId="1" applyNumberFormat="1" applyFont="1" applyFill="1" applyBorder="1"/>
    <xf numFmtId="0" fontId="3" fillId="0" borderId="0" xfId="0" quotePrefix="1" applyFont="1" applyAlignment="1">
      <alignment horizontal="left"/>
    </xf>
    <xf numFmtId="0" fontId="2" fillId="0" borderId="0" xfId="0" quotePrefix="1" applyFont="1" applyAlignment="1">
      <alignment horizontal="left"/>
    </xf>
    <xf numFmtId="164" fontId="2" fillId="0" borderId="3" xfId="1" quotePrefix="1" applyNumberFormat="1" applyFont="1" applyBorder="1" applyAlignment="1">
      <alignment horizontal="center" wrapText="1"/>
    </xf>
    <xf numFmtId="0" fontId="4" fillId="0" borderId="0" xfId="0" quotePrefix="1" applyFont="1" applyAlignment="1">
      <alignment horizontal="left"/>
    </xf>
    <xf numFmtId="2" fontId="4" fillId="0" borderId="0" xfId="2" applyNumberFormat="1" applyFont="1"/>
    <xf numFmtId="164" fontId="13" fillId="0" borderId="0" xfId="1" applyNumberFormat="1" applyFont="1"/>
    <xf numFmtId="0" fontId="0" fillId="0" borderId="0" xfId="0" quotePrefix="1" applyAlignment="1">
      <alignment horizontal="left"/>
    </xf>
    <xf numFmtId="0" fontId="3" fillId="3" borderId="0" xfId="0" quotePrefix="1" applyFont="1" applyFill="1" applyAlignment="1">
      <alignment horizontal="left" indent="1"/>
    </xf>
    <xf numFmtId="0" fontId="1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164" fontId="1" fillId="0" borderId="0" xfId="1" applyNumberFormat="1" applyFont="1" applyBorder="1" applyAlignment="1">
      <alignment horizontal="center" wrapText="1"/>
    </xf>
    <xf numFmtId="164" fontId="1" fillId="0" borderId="0" xfId="1" applyNumberFormat="1" applyFont="1"/>
    <xf numFmtId="0" fontId="1" fillId="0" borderId="0" xfId="0" quotePrefix="1" applyFont="1" applyAlignment="1">
      <alignment horizontal="left"/>
    </xf>
    <xf numFmtId="0" fontId="1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2"/>
  <sheetViews>
    <sheetView tabSelected="1" zoomScale="110" zoomScaleNormal="110" workbookViewId="0">
      <pane ySplit="7" topLeftCell="A8" activePane="bottomLeft" state="frozen"/>
      <selection pane="bottomLeft" activeCell="A3" sqref="A3"/>
    </sheetView>
  </sheetViews>
  <sheetFormatPr defaultColWidth="11.42578125" defaultRowHeight="12.75" x14ac:dyDescent="0.2"/>
  <cols>
    <col min="1" max="1" width="14.7109375" style="11" customWidth="1"/>
    <col min="2" max="2" width="28.42578125" customWidth="1"/>
    <col min="3" max="3" width="8.85546875" style="25" customWidth="1"/>
    <col min="4" max="4" width="11.7109375" customWidth="1"/>
    <col min="5" max="5" width="12" customWidth="1"/>
    <col min="6" max="6" width="12.28515625" customWidth="1"/>
    <col min="7" max="7" width="13.7109375" customWidth="1"/>
    <col min="8" max="8" width="13.140625" customWidth="1"/>
    <col min="9" max="9" width="15.7109375" customWidth="1"/>
    <col min="10" max="10" width="9.140625" style="10" customWidth="1"/>
  </cols>
  <sheetData>
    <row r="1" spans="1:10" s="32" customFormat="1" ht="15" x14ac:dyDescent="0.2">
      <c r="A1" s="56"/>
      <c r="B1" s="30" t="s">
        <v>0</v>
      </c>
      <c r="C1" s="31"/>
      <c r="J1" s="33"/>
    </row>
    <row r="3" spans="1:10" x14ac:dyDescent="0.2">
      <c r="B3" s="8" t="s">
        <v>57</v>
      </c>
      <c r="C3" s="23"/>
      <c r="D3" s="9"/>
      <c r="E3" s="9"/>
      <c r="F3" s="9"/>
      <c r="G3" s="9"/>
      <c r="H3" s="9"/>
      <c r="I3" s="9"/>
    </row>
    <row r="4" spans="1:10" x14ac:dyDescent="0.2">
      <c r="B4" s="1" t="s">
        <v>27</v>
      </c>
      <c r="C4" s="24"/>
      <c r="D4" s="3"/>
      <c r="E4" s="3"/>
      <c r="F4" s="3"/>
      <c r="G4" s="3"/>
      <c r="H4" s="3"/>
      <c r="I4" s="39"/>
    </row>
    <row r="5" spans="1:10" x14ac:dyDescent="0.2">
      <c r="B5" s="49" t="s">
        <v>84</v>
      </c>
      <c r="C5" s="23"/>
      <c r="D5" s="9"/>
      <c r="E5" s="9"/>
      <c r="F5" s="9"/>
      <c r="G5" s="9"/>
      <c r="H5" s="9"/>
      <c r="I5" s="39"/>
      <c r="J5"/>
    </row>
    <row r="6" spans="1:10" x14ac:dyDescent="0.2">
      <c r="D6" s="2"/>
      <c r="E6" s="2"/>
      <c r="F6" s="2"/>
      <c r="G6" s="2"/>
      <c r="H6" s="2"/>
      <c r="I6" s="2"/>
      <c r="J6"/>
    </row>
    <row r="7" spans="1:10" s="11" customFormat="1" ht="25.5" x14ac:dyDescent="0.2">
      <c r="A7" s="11" t="s">
        <v>68</v>
      </c>
      <c r="B7" s="60"/>
      <c r="C7" s="26" t="s">
        <v>1</v>
      </c>
      <c r="D7" s="50" t="s">
        <v>54</v>
      </c>
      <c r="E7" s="50" t="s">
        <v>55</v>
      </c>
      <c r="F7" s="50" t="s">
        <v>56</v>
      </c>
      <c r="G7" s="50" t="s">
        <v>67</v>
      </c>
      <c r="H7" s="50" t="s">
        <v>85</v>
      </c>
      <c r="I7" s="12" t="s">
        <v>3</v>
      </c>
    </row>
    <row r="8" spans="1:10" s="11" customFormat="1" ht="25.5" x14ac:dyDescent="0.2">
      <c r="A8" s="11" t="s">
        <v>69</v>
      </c>
      <c r="B8" s="35" t="s">
        <v>6</v>
      </c>
      <c r="C8" s="27"/>
      <c r="D8" s="22"/>
      <c r="E8" s="22"/>
      <c r="F8" s="22"/>
      <c r="G8" s="22"/>
      <c r="H8" s="22"/>
      <c r="I8" s="22"/>
    </row>
    <row r="9" spans="1:10" s="11" customFormat="1" x14ac:dyDescent="0.2">
      <c r="B9" s="21"/>
      <c r="C9" s="27"/>
      <c r="D9" s="22"/>
      <c r="E9" s="22"/>
      <c r="F9" s="22"/>
      <c r="G9" s="22"/>
      <c r="H9" s="22"/>
      <c r="I9" s="22"/>
    </row>
    <row r="10" spans="1:10" s="11" customFormat="1" ht="25.5" x14ac:dyDescent="0.2">
      <c r="A10" s="11" t="s">
        <v>70</v>
      </c>
      <c r="B10" s="7" t="s">
        <v>2</v>
      </c>
      <c r="C10" s="27"/>
      <c r="D10" s="22"/>
      <c r="E10" s="22"/>
      <c r="F10" s="22"/>
      <c r="G10" s="22"/>
      <c r="H10" s="22"/>
      <c r="I10" s="22"/>
    </row>
    <row r="11" spans="1:10" s="11" customFormat="1" x14ac:dyDescent="0.2">
      <c r="B11" t="s">
        <v>20</v>
      </c>
      <c r="C11" s="27"/>
      <c r="D11" s="22"/>
      <c r="E11" s="22"/>
      <c r="F11" s="22"/>
      <c r="G11" s="22"/>
      <c r="H11" s="22"/>
      <c r="I11" s="22"/>
    </row>
    <row r="12" spans="1:10" s="11" customFormat="1" x14ac:dyDescent="0.2">
      <c r="B12" t="s">
        <v>21</v>
      </c>
      <c r="C12" s="27"/>
      <c r="D12" s="61">
        <f>SUM((160000*1.04/9*7.5)+(160000*1.04*1.04/9*1.5))*15%</f>
        <v>25126.400000000001</v>
      </c>
      <c r="E12" s="40">
        <f t="shared" ref="E12:H13" si="0">SUM(D12*1.04)</f>
        <v>26131.456000000002</v>
      </c>
      <c r="F12" s="40">
        <f t="shared" si="0"/>
        <v>27176.714240000001</v>
      </c>
      <c r="G12" s="40">
        <f t="shared" si="0"/>
        <v>28263.782809600001</v>
      </c>
      <c r="H12" s="40">
        <f t="shared" si="0"/>
        <v>29394.334121984004</v>
      </c>
      <c r="I12" s="40">
        <f>SUM(D12:H12)</f>
        <v>136092.687171584</v>
      </c>
    </row>
    <row r="13" spans="1:10" s="11" customFormat="1" x14ac:dyDescent="0.2">
      <c r="B13" t="s">
        <v>8</v>
      </c>
      <c r="C13" s="27"/>
      <c r="D13" s="61">
        <f>SUM(160000*1.04/9)*50%</f>
        <v>9244.4444444444453</v>
      </c>
      <c r="E13" s="40">
        <f t="shared" si="0"/>
        <v>9614.2222222222226</v>
      </c>
      <c r="F13" s="40">
        <f t="shared" si="0"/>
        <v>9998.7911111111116</v>
      </c>
      <c r="G13" s="40">
        <f t="shared" si="0"/>
        <v>10398.742755555557</v>
      </c>
      <c r="H13" s="40">
        <f t="shared" si="0"/>
        <v>10814.69246577778</v>
      </c>
      <c r="I13" s="40">
        <f>SUM(D13:H13)</f>
        <v>50070.892999111114</v>
      </c>
    </row>
    <row r="14" spans="1:10" s="11" customFormat="1" x14ac:dyDescent="0.2">
      <c r="B14" s="48" t="s">
        <v>80</v>
      </c>
      <c r="C14" s="27"/>
      <c r="D14" s="22"/>
      <c r="E14" s="22"/>
      <c r="F14" s="22"/>
      <c r="G14" s="22"/>
      <c r="H14" s="22"/>
      <c r="I14" s="22"/>
    </row>
    <row r="15" spans="1:10" s="11" customFormat="1" x14ac:dyDescent="0.2">
      <c r="B15" s="21"/>
      <c r="C15" s="27"/>
      <c r="D15" s="22"/>
      <c r="E15" s="22"/>
      <c r="F15" s="22"/>
      <c r="G15" s="22"/>
      <c r="H15" s="22"/>
      <c r="I15" s="22"/>
    </row>
    <row r="16" spans="1:10" ht="25.5" x14ac:dyDescent="0.2">
      <c r="A16" s="11" t="s">
        <v>70</v>
      </c>
      <c r="B16" t="s">
        <v>5</v>
      </c>
      <c r="D16" s="39"/>
      <c r="E16" s="39"/>
      <c r="F16" s="39"/>
      <c r="G16" s="39"/>
      <c r="H16" s="39"/>
      <c r="I16" s="39"/>
    </row>
    <row r="17" spans="1:10" s="34" customFormat="1" x14ac:dyDescent="0.2">
      <c r="A17" s="57"/>
      <c r="B17" s="7" t="s">
        <v>22</v>
      </c>
      <c r="C17" s="25"/>
      <c r="D17" s="38"/>
      <c r="E17" s="38"/>
      <c r="F17" s="38"/>
      <c r="G17" s="38"/>
      <c r="H17" s="38"/>
      <c r="I17" s="38"/>
      <c r="J17" s="36"/>
    </row>
    <row r="18" spans="1:10" s="34" customFormat="1" x14ac:dyDescent="0.2">
      <c r="A18" s="57"/>
      <c r="B18" s="7" t="s">
        <v>7</v>
      </c>
      <c r="C18" s="25"/>
      <c r="D18" s="62">
        <f>SUM((115000*1.04/12*9)+(115000*1.04*1.04/12*3))*5%</f>
        <v>6039.8</v>
      </c>
      <c r="E18" s="40">
        <f>SUM(D18*1.04)</f>
        <v>6281.3920000000007</v>
      </c>
      <c r="F18" s="40">
        <f>SUM(E18*1.04)</f>
        <v>6532.6476800000009</v>
      </c>
      <c r="G18" s="40">
        <f>SUM(F18*1.04)</f>
        <v>6793.9535872000015</v>
      </c>
      <c r="H18" s="40">
        <f>SUM(G18*1.04)</f>
        <v>7065.7117306880018</v>
      </c>
      <c r="I18" s="40">
        <f>SUM(D18:H18)</f>
        <v>32713.504997888005</v>
      </c>
      <c r="J18" s="36"/>
    </row>
    <row r="19" spans="1:10" s="34" customFormat="1" x14ac:dyDescent="0.2">
      <c r="A19" s="57"/>
      <c r="B19" s="48" t="s">
        <v>81</v>
      </c>
      <c r="C19" s="25"/>
      <c r="D19" s="38"/>
      <c r="E19" s="38"/>
      <c r="F19" s="38"/>
      <c r="G19" s="38"/>
      <c r="H19" s="38"/>
      <c r="I19" s="38"/>
      <c r="J19" s="36"/>
    </row>
    <row r="20" spans="1:10" s="34" customFormat="1" x14ac:dyDescent="0.2">
      <c r="A20" s="57"/>
      <c r="B20" s="7" t="s">
        <v>40</v>
      </c>
      <c r="C20" s="25"/>
      <c r="D20" s="38"/>
      <c r="E20" s="38"/>
      <c r="F20" s="38"/>
      <c r="G20" s="38"/>
      <c r="H20" s="38"/>
      <c r="I20" s="38"/>
      <c r="J20" s="36"/>
    </row>
    <row r="21" spans="1:10" s="34" customFormat="1" ht="25.5" x14ac:dyDescent="0.2">
      <c r="A21" s="57" t="s">
        <v>71</v>
      </c>
      <c r="B21" s="7" t="s">
        <v>23</v>
      </c>
      <c r="C21" s="25"/>
      <c r="D21" s="38"/>
      <c r="E21" s="38"/>
      <c r="F21" s="38"/>
      <c r="G21" s="38"/>
      <c r="H21" s="38"/>
      <c r="I21" s="38"/>
      <c r="J21" s="36"/>
    </row>
    <row r="22" spans="1:10" s="34" customFormat="1" x14ac:dyDescent="0.2">
      <c r="A22" s="57"/>
      <c r="B22" s="7" t="s">
        <v>24</v>
      </c>
      <c r="C22" s="25"/>
      <c r="D22" s="38"/>
      <c r="E22" s="38"/>
      <c r="F22" s="38"/>
      <c r="G22" s="38"/>
      <c r="H22" s="38"/>
      <c r="I22" s="38"/>
      <c r="J22" s="36"/>
    </row>
    <row r="23" spans="1:10" s="34" customFormat="1" x14ac:dyDescent="0.2">
      <c r="A23" s="57"/>
      <c r="B23" s="7" t="s">
        <v>25</v>
      </c>
      <c r="C23" s="25"/>
      <c r="D23" s="38">
        <f>SUM((75000/12*9)+(75000*1.04/12*3))*50%</f>
        <v>37875</v>
      </c>
      <c r="E23" s="40">
        <f>SUM(D23*1.04)</f>
        <v>39390</v>
      </c>
      <c r="F23" s="40">
        <f>SUM(E23*1.04)</f>
        <v>40965.599999999999</v>
      </c>
      <c r="G23" s="40">
        <f>SUM(F23*1.04)</f>
        <v>42604.224000000002</v>
      </c>
      <c r="H23" s="40">
        <f>SUM(G23*1.04)</f>
        <v>44308.392960000005</v>
      </c>
      <c r="I23" s="40">
        <f>SUM(D23:H23)</f>
        <v>205143.21696000002</v>
      </c>
      <c r="J23" s="36"/>
    </row>
    <row r="24" spans="1:10" s="34" customFormat="1" x14ac:dyDescent="0.2">
      <c r="A24" s="57"/>
      <c r="B24" s="63" t="s">
        <v>86</v>
      </c>
      <c r="C24" s="25"/>
      <c r="D24" s="38"/>
      <c r="E24" s="38"/>
      <c r="F24" s="38"/>
      <c r="G24" s="38"/>
      <c r="H24" s="38"/>
      <c r="I24" s="38"/>
      <c r="J24" s="36"/>
    </row>
    <row r="25" spans="1:10" s="34" customFormat="1" x14ac:dyDescent="0.2">
      <c r="A25" s="57"/>
      <c r="B25" s="7"/>
      <c r="C25" s="25"/>
      <c r="D25" s="41"/>
      <c r="E25" s="41"/>
      <c r="F25" s="41"/>
      <c r="G25" s="41"/>
      <c r="H25" s="41"/>
      <c r="I25" s="41"/>
      <c r="J25" s="36"/>
    </row>
    <row r="26" spans="1:10" s="34" customFormat="1" x14ac:dyDescent="0.2">
      <c r="A26" s="57"/>
      <c r="B26" s="1" t="s">
        <v>9</v>
      </c>
      <c r="C26" s="25"/>
      <c r="D26" s="38">
        <f t="shared" ref="D26:I26" si="1">SUM(D8:D25)</f>
        <v>78285.64444444445</v>
      </c>
      <c r="E26" s="38">
        <f t="shared" si="1"/>
        <v>81417.070222222217</v>
      </c>
      <c r="F26" s="38">
        <f t="shared" si="1"/>
        <v>84673.753031111119</v>
      </c>
      <c r="G26" s="38">
        <f t="shared" si="1"/>
        <v>88060.703152355563</v>
      </c>
      <c r="H26" s="38">
        <f t="shared" si="1"/>
        <v>91583.131278449786</v>
      </c>
      <c r="I26" s="38">
        <f t="shared" si="1"/>
        <v>424020.30212858313</v>
      </c>
      <c r="J26" s="36"/>
    </row>
    <row r="27" spans="1:10" s="34" customFormat="1" x14ac:dyDescent="0.2">
      <c r="A27" s="57"/>
      <c r="B27" s="7"/>
      <c r="C27" s="25"/>
      <c r="D27" s="38"/>
      <c r="E27" s="38"/>
      <c r="F27" s="38"/>
      <c r="G27" s="38"/>
      <c r="H27" s="38"/>
      <c r="I27" s="38"/>
      <c r="J27" s="36"/>
    </row>
    <row r="28" spans="1:10" x14ac:dyDescent="0.2">
      <c r="A28" s="11" t="s">
        <v>72</v>
      </c>
      <c r="B28" s="1" t="s">
        <v>19</v>
      </c>
      <c r="D28" s="2"/>
      <c r="E28" s="2"/>
      <c r="F28" s="2"/>
      <c r="G28" s="2"/>
      <c r="H28" s="2"/>
      <c r="I28" s="39"/>
    </row>
    <row r="29" spans="1:10" x14ac:dyDescent="0.2">
      <c r="B29" s="63" t="s">
        <v>96</v>
      </c>
      <c r="C29" s="24">
        <v>0.34300000000000003</v>
      </c>
      <c r="D29" s="2">
        <f>SUM(D26-D23)*C29</f>
        <v>13860.851044444447</v>
      </c>
      <c r="E29" s="2">
        <f>(E26-E23)*C29</f>
        <v>14415.285086222222</v>
      </c>
      <c r="F29" s="2">
        <f>(F26-F23)*C29</f>
        <v>14991.896489671115</v>
      </c>
      <c r="G29" s="2">
        <f>(G26-G23)*C29</f>
        <v>15591.572349257958</v>
      </c>
      <c r="H29" s="2">
        <f>(H26-H23)*C29</f>
        <v>16215.235243228277</v>
      </c>
      <c r="I29" s="39">
        <f>SUM(D29:H29)</f>
        <v>75074.840212824012</v>
      </c>
    </row>
    <row r="30" spans="1:10" x14ac:dyDescent="0.2">
      <c r="A30" s="58"/>
      <c r="B30" s="63" t="s">
        <v>96</v>
      </c>
      <c r="C30" s="24">
        <v>0.245</v>
      </c>
      <c r="D30" s="2">
        <f>D23*C30</f>
        <v>9279.375</v>
      </c>
      <c r="E30" s="2">
        <f>E23*C30</f>
        <v>9650.5499999999993</v>
      </c>
      <c r="F30" s="2">
        <f>F23*C30</f>
        <v>10036.572</v>
      </c>
      <c r="G30" s="2">
        <f>G23*C30</f>
        <v>10438.034880000001</v>
      </c>
      <c r="H30" s="2">
        <f>H23*C30</f>
        <v>10855.556275200001</v>
      </c>
      <c r="I30" s="39">
        <f>SUM(D30:H30)</f>
        <v>50260.088155200006</v>
      </c>
    </row>
    <row r="31" spans="1:10" x14ac:dyDescent="0.2">
      <c r="A31" s="58"/>
      <c r="B31" s="1" t="s">
        <v>41</v>
      </c>
      <c r="C31" s="24"/>
      <c r="D31" s="4">
        <f t="shared" ref="D31:I31" si="2">SUM(D28:D30)</f>
        <v>23140.226044444447</v>
      </c>
      <c r="E31" s="4">
        <f t="shared" si="2"/>
        <v>24065.835086222221</v>
      </c>
      <c r="F31" s="4">
        <f t="shared" si="2"/>
        <v>25028.468489671115</v>
      </c>
      <c r="G31" s="4">
        <f t="shared" si="2"/>
        <v>26029.607229257959</v>
      </c>
      <c r="H31" s="4">
        <f t="shared" si="2"/>
        <v>27070.791518428276</v>
      </c>
      <c r="I31" s="4">
        <f t="shared" si="2"/>
        <v>125334.92836802402</v>
      </c>
    </row>
    <row r="32" spans="1:10" x14ac:dyDescent="0.2">
      <c r="C32" s="24"/>
      <c r="D32" s="2"/>
      <c r="E32" s="2"/>
      <c r="F32" s="2"/>
      <c r="G32" s="2"/>
      <c r="H32" s="2"/>
      <c r="I32" s="39"/>
    </row>
    <row r="33" spans="1:10" ht="25.5" x14ac:dyDescent="0.2">
      <c r="A33" s="11" t="s">
        <v>87</v>
      </c>
      <c r="B33" s="1" t="s">
        <v>11</v>
      </c>
      <c r="C33" s="24"/>
      <c r="D33" s="2"/>
      <c r="E33" s="2"/>
      <c r="F33" s="2"/>
      <c r="G33" s="2"/>
      <c r="H33" s="2"/>
      <c r="I33" s="39"/>
    </row>
    <row r="34" spans="1:10" x14ac:dyDescent="0.2">
      <c r="B34" s="1"/>
      <c r="C34" s="24"/>
      <c r="D34" s="2"/>
      <c r="E34" s="2"/>
      <c r="F34" s="2"/>
      <c r="G34" s="2"/>
      <c r="H34" s="2"/>
      <c r="I34" s="39"/>
    </row>
    <row r="35" spans="1:10" ht="25.5" x14ac:dyDescent="0.2">
      <c r="A35" s="11" t="s">
        <v>73</v>
      </c>
      <c r="B35" s="7" t="s">
        <v>26</v>
      </c>
      <c r="D35" s="38"/>
      <c r="E35" s="38"/>
      <c r="F35" s="38"/>
      <c r="G35" s="38"/>
      <c r="H35" s="38"/>
      <c r="I35" s="38"/>
    </row>
    <row r="36" spans="1:10" s="7" customFormat="1" x14ac:dyDescent="0.2">
      <c r="A36" s="57"/>
      <c r="B36" s="7" t="s">
        <v>53</v>
      </c>
      <c r="C36" s="25"/>
      <c r="D36" s="61">
        <f>SUM((76000/12*10.5)+(80000/12*1.5))*50%</f>
        <v>38250</v>
      </c>
      <c r="E36" s="61">
        <f>SUM((80000/12*10.5)+(80000*1.04/12*1.5))*50%</f>
        <v>40200</v>
      </c>
      <c r="F36" s="40">
        <f>SUM(E36*1.04)</f>
        <v>41808</v>
      </c>
      <c r="G36" s="40">
        <f>SUM(F36*1.04)</f>
        <v>43480.32</v>
      </c>
      <c r="H36" s="40">
        <f>SUM(G36*1.04)</f>
        <v>45219.532800000001</v>
      </c>
      <c r="I36" s="40">
        <f>SUM(D36:H36)</f>
        <v>208957.85279999999</v>
      </c>
      <c r="J36" s="14"/>
    </row>
    <row r="37" spans="1:10" s="7" customFormat="1" x14ac:dyDescent="0.2">
      <c r="A37" s="57"/>
      <c r="B37" s="64" t="s">
        <v>88</v>
      </c>
      <c r="C37" s="25"/>
      <c r="D37" s="38"/>
      <c r="E37" s="38"/>
      <c r="F37" s="38"/>
      <c r="G37" s="38"/>
      <c r="H37" s="38"/>
      <c r="I37" s="38"/>
      <c r="J37" s="14"/>
    </row>
    <row r="38" spans="1:10" s="7" customFormat="1" x14ac:dyDescent="0.2">
      <c r="A38" s="57"/>
      <c r="B38" s="63" t="s">
        <v>89</v>
      </c>
      <c r="C38" s="25"/>
      <c r="D38" s="38"/>
      <c r="E38" s="38"/>
      <c r="F38" s="38"/>
      <c r="G38" s="38"/>
      <c r="H38" s="38"/>
      <c r="I38" s="38"/>
      <c r="J38" s="14"/>
    </row>
    <row r="39" spans="1:10" s="7" customFormat="1" x14ac:dyDescent="0.2">
      <c r="A39" s="57"/>
      <c r="B39" s="1" t="s">
        <v>42</v>
      </c>
      <c r="C39" s="25"/>
      <c r="D39" s="20">
        <f t="shared" ref="D39:I39" si="3">SUM(D33:D37)</f>
        <v>38250</v>
      </c>
      <c r="E39" s="20">
        <f t="shared" si="3"/>
        <v>40200</v>
      </c>
      <c r="F39" s="20">
        <f t="shared" si="3"/>
        <v>41808</v>
      </c>
      <c r="G39" s="20">
        <f t="shared" si="3"/>
        <v>43480.32</v>
      </c>
      <c r="H39" s="20">
        <f t="shared" si="3"/>
        <v>45219.532800000001</v>
      </c>
      <c r="I39" s="20">
        <f t="shared" si="3"/>
        <v>208957.85279999999</v>
      </c>
      <c r="J39" s="14"/>
    </row>
    <row r="40" spans="1:10" x14ac:dyDescent="0.2">
      <c r="D40" s="2"/>
      <c r="E40" s="2"/>
      <c r="F40" s="2"/>
      <c r="G40" s="2"/>
      <c r="H40" s="2"/>
      <c r="I40" s="39"/>
    </row>
    <row r="41" spans="1:10" s="7" customFormat="1" x14ac:dyDescent="0.2">
      <c r="A41" s="57"/>
      <c r="B41" s="7" t="s">
        <v>10</v>
      </c>
      <c r="C41" s="25"/>
      <c r="D41" s="20">
        <f t="shared" ref="D41:I41" si="4">(D39+D31+D26)</f>
        <v>139675.8704888889</v>
      </c>
      <c r="E41" s="20">
        <f t="shared" si="4"/>
        <v>145682.90530844443</v>
      </c>
      <c r="F41" s="20">
        <f t="shared" si="4"/>
        <v>151510.22152078222</v>
      </c>
      <c r="G41" s="20">
        <f t="shared" si="4"/>
        <v>157570.6303816135</v>
      </c>
      <c r="H41" s="20">
        <f t="shared" si="4"/>
        <v>163873.45559687808</v>
      </c>
      <c r="I41" s="20">
        <f t="shared" si="4"/>
        <v>758313.08329660713</v>
      </c>
      <c r="J41" s="14"/>
    </row>
    <row r="42" spans="1:10" x14ac:dyDescent="0.2">
      <c r="B42" s="15"/>
      <c r="C42" s="24"/>
      <c r="D42" s="42"/>
      <c r="E42" s="42"/>
      <c r="F42" s="42"/>
      <c r="G42" s="42"/>
      <c r="H42" s="42"/>
      <c r="I42" s="39"/>
    </row>
    <row r="43" spans="1:10" s="7" customFormat="1" ht="25.5" x14ac:dyDescent="0.2">
      <c r="A43" s="11" t="s">
        <v>74</v>
      </c>
      <c r="B43" s="1" t="s">
        <v>14</v>
      </c>
      <c r="C43" s="24"/>
      <c r="D43" s="39"/>
      <c r="E43" s="39"/>
      <c r="F43" s="39"/>
      <c r="G43" s="39"/>
      <c r="H43" s="39"/>
      <c r="I43" s="39"/>
      <c r="J43" s="14"/>
    </row>
    <row r="44" spans="1:10" x14ac:dyDescent="0.2">
      <c r="B44" s="5" t="s">
        <v>12</v>
      </c>
      <c r="C44" s="24"/>
      <c r="D44" s="3">
        <v>1500</v>
      </c>
      <c r="E44" s="3">
        <v>1500</v>
      </c>
      <c r="F44" s="3">
        <v>1500</v>
      </c>
      <c r="G44" s="3">
        <v>1500</v>
      </c>
      <c r="H44" s="3">
        <v>1500</v>
      </c>
      <c r="I44" s="3">
        <f>SUM(D44:H44)</f>
        <v>7500</v>
      </c>
    </row>
    <row r="45" spans="1:10" x14ac:dyDescent="0.2">
      <c r="B45" s="5" t="s">
        <v>90</v>
      </c>
      <c r="C45" s="29"/>
      <c r="D45" s="3">
        <v>1000</v>
      </c>
      <c r="E45" s="3">
        <v>1000</v>
      </c>
      <c r="F45" s="3">
        <v>1000</v>
      </c>
      <c r="G45" s="3">
        <v>1000</v>
      </c>
      <c r="H45" s="3">
        <v>1000</v>
      </c>
      <c r="I45" s="3">
        <f>SUM(D45:H45)</f>
        <v>5000</v>
      </c>
    </row>
    <row r="46" spans="1:10" x14ac:dyDescent="0.2">
      <c r="B46" s="5"/>
      <c r="C46" s="29"/>
      <c r="D46" s="39"/>
      <c r="E46" s="39"/>
      <c r="F46" s="39"/>
      <c r="G46" s="39"/>
      <c r="H46" s="39"/>
      <c r="I46" s="39"/>
    </row>
    <row r="47" spans="1:10" x14ac:dyDescent="0.2">
      <c r="B47" s="1" t="s">
        <v>13</v>
      </c>
      <c r="C47" s="29"/>
      <c r="D47" s="3">
        <f>SUM(C49:C52)*2</f>
        <v>4180</v>
      </c>
      <c r="E47" s="3">
        <f>SUM(C49:C52)*2</f>
        <v>4180</v>
      </c>
      <c r="F47" s="3">
        <f>SUM(C49:C52)*2</f>
        <v>4180</v>
      </c>
      <c r="G47" s="3">
        <f>SUM(C49:C52)*2</f>
        <v>4180</v>
      </c>
      <c r="H47" s="3">
        <f>SUM(C49:C52)*2</f>
        <v>4180</v>
      </c>
      <c r="I47" s="3">
        <f>SUM(D47:H47)</f>
        <v>20900</v>
      </c>
    </row>
    <row r="48" spans="1:10" x14ac:dyDescent="0.2">
      <c r="A48" s="11" t="s">
        <v>75</v>
      </c>
      <c r="B48" s="51" t="s">
        <v>45</v>
      </c>
      <c r="D48" s="3"/>
      <c r="E48" s="3"/>
      <c r="F48" s="3"/>
      <c r="G48" s="3"/>
      <c r="H48" s="3"/>
      <c r="I48" s="3"/>
    </row>
    <row r="49" spans="1:10" x14ac:dyDescent="0.2">
      <c r="B49" s="51" t="s">
        <v>46</v>
      </c>
      <c r="C49" s="52">
        <v>550</v>
      </c>
      <c r="D49" s="3"/>
      <c r="E49" s="3"/>
      <c r="F49" s="3"/>
      <c r="G49" s="3"/>
      <c r="H49" s="3"/>
      <c r="I49" s="3"/>
    </row>
    <row r="50" spans="1:10" ht="25.5" x14ac:dyDescent="0.2">
      <c r="A50" s="11" t="s">
        <v>95</v>
      </c>
      <c r="B50" s="51" t="s">
        <v>48</v>
      </c>
      <c r="C50" s="52">
        <v>700</v>
      </c>
      <c r="D50" s="3"/>
      <c r="E50" s="3"/>
      <c r="F50" s="3"/>
      <c r="G50" s="3"/>
      <c r="H50" s="3"/>
      <c r="I50" s="3"/>
    </row>
    <row r="51" spans="1:10" x14ac:dyDescent="0.2">
      <c r="B51" s="51" t="s">
        <v>49</v>
      </c>
      <c r="C51" s="52">
        <f>3*180</f>
        <v>540</v>
      </c>
      <c r="D51" s="3"/>
      <c r="E51" s="3"/>
      <c r="F51" s="3"/>
      <c r="G51" s="3"/>
      <c r="H51" s="3"/>
      <c r="I51" s="3"/>
    </row>
    <row r="52" spans="1:10" x14ac:dyDescent="0.2">
      <c r="B52" s="51" t="s">
        <v>47</v>
      </c>
      <c r="C52" s="52">
        <f>75*4</f>
        <v>300</v>
      </c>
      <c r="D52" s="3"/>
      <c r="E52" s="3"/>
      <c r="F52" s="3"/>
      <c r="G52" s="3"/>
      <c r="H52" s="3"/>
      <c r="I52" s="3"/>
    </row>
    <row r="53" spans="1:10" x14ac:dyDescent="0.2">
      <c r="B53" s="43"/>
      <c r="D53" s="39"/>
      <c r="E53" s="39"/>
      <c r="F53" s="39"/>
      <c r="G53" s="39"/>
      <c r="H53" s="39"/>
      <c r="I53" s="39"/>
    </row>
    <row r="54" spans="1:10" x14ac:dyDescent="0.2">
      <c r="B54" s="1" t="s">
        <v>29</v>
      </c>
      <c r="D54" s="39"/>
      <c r="E54" s="39"/>
      <c r="F54" s="39"/>
      <c r="G54" s="39"/>
      <c r="H54" s="39"/>
      <c r="I54" s="39"/>
    </row>
    <row r="55" spans="1:10" ht="25.5" x14ac:dyDescent="0.2">
      <c r="A55" s="11" t="s">
        <v>76</v>
      </c>
      <c r="B55" s="43" t="s">
        <v>30</v>
      </c>
      <c r="D55" s="39">
        <v>25000</v>
      </c>
      <c r="E55" s="39"/>
      <c r="F55" s="39"/>
      <c r="G55" s="39"/>
      <c r="H55" s="39"/>
      <c r="I55" s="39">
        <f>SUM(D55:H55)</f>
        <v>25000</v>
      </c>
    </row>
    <row r="56" spans="1:10" ht="25.5" x14ac:dyDescent="0.2">
      <c r="A56" s="11" t="s">
        <v>76</v>
      </c>
      <c r="B56" s="43" t="s">
        <v>31</v>
      </c>
      <c r="D56" s="39">
        <v>75000</v>
      </c>
      <c r="E56" s="39">
        <v>100000</v>
      </c>
      <c r="F56" s="39">
        <v>100000</v>
      </c>
      <c r="G56" s="39">
        <v>100000</v>
      </c>
      <c r="H56" s="39">
        <v>100000</v>
      </c>
      <c r="I56" s="39">
        <f>SUM(D56:H56)</f>
        <v>475000</v>
      </c>
    </row>
    <row r="57" spans="1:10" x14ac:dyDescent="0.2">
      <c r="B57" s="43"/>
      <c r="D57" s="39"/>
      <c r="E57" s="39"/>
      <c r="F57" s="39"/>
      <c r="G57" s="39"/>
      <c r="H57" s="39"/>
      <c r="I57" s="39"/>
    </row>
    <row r="58" spans="1:10" x14ac:dyDescent="0.2">
      <c r="A58" s="11" t="s">
        <v>77</v>
      </c>
      <c r="B58" s="1" t="s">
        <v>28</v>
      </c>
      <c r="D58" s="62">
        <f>SUM((2309*6/12*10.5)+(2309*1.04*6/12*1.5))</f>
        <v>13923.27</v>
      </c>
      <c r="E58" s="3">
        <f>D58*1.04</f>
        <v>14480.200800000001</v>
      </c>
      <c r="F58" s="40">
        <f>SUM(E58*1.04)</f>
        <v>15059.408832000001</v>
      </c>
      <c r="G58" s="40">
        <f>SUM(F58*1.04)</f>
        <v>15661.785185280001</v>
      </c>
      <c r="H58" s="40">
        <f>SUM(G58*1.04)</f>
        <v>16288.256592691201</v>
      </c>
      <c r="I58" s="40">
        <f>SUM(D58:H58)</f>
        <v>75412.921409971212</v>
      </c>
    </row>
    <row r="59" spans="1:10" x14ac:dyDescent="0.2">
      <c r="B59" s="51" t="s">
        <v>91</v>
      </c>
      <c r="D59" s="53"/>
      <c r="E59" s="3"/>
      <c r="F59" s="3"/>
      <c r="G59" s="3"/>
      <c r="H59" s="3"/>
      <c r="I59" s="3"/>
    </row>
    <row r="60" spans="1:10" x14ac:dyDescent="0.2">
      <c r="B60" s="43"/>
      <c r="D60" s="39"/>
      <c r="E60" s="39"/>
      <c r="F60" s="39"/>
      <c r="G60" s="39"/>
      <c r="H60" s="39"/>
      <c r="I60" s="39"/>
    </row>
    <row r="61" spans="1:10" x14ac:dyDescent="0.2">
      <c r="A61" s="11" t="s">
        <v>78</v>
      </c>
      <c r="B61" s="1" t="s">
        <v>33</v>
      </c>
      <c r="C61" s="29"/>
      <c r="D61" s="2">
        <v>20000</v>
      </c>
      <c r="E61" s="2"/>
      <c r="F61" s="2">
        <v>25000</v>
      </c>
      <c r="G61" s="2"/>
      <c r="H61" s="2"/>
      <c r="I61" s="40">
        <f>SUM(D61:H61)</f>
        <v>45000</v>
      </c>
    </row>
    <row r="62" spans="1:10" x14ac:dyDescent="0.2">
      <c r="B62" s="7" t="s">
        <v>34</v>
      </c>
      <c r="C62" s="29"/>
      <c r="D62" s="2"/>
      <c r="E62" s="2"/>
      <c r="F62" s="2"/>
      <c r="G62" s="2"/>
      <c r="H62" s="2"/>
      <c r="I62" s="40"/>
    </row>
    <row r="63" spans="1:10" x14ac:dyDescent="0.2">
      <c r="B63" s="7"/>
      <c r="C63" s="29"/>
      <c r="D63" s="2"/>
      <c r="E63" s="2"/>
      <c r="F63" s="2"/>
      <c r="G63" s="2"/>
      <c r="H63" s="2"/>
      <c r="I63" s="2"/>
    </row>
    <row r="64" spans="1:10" x14ac:dyDescent="0.2">
      <c r="B64" t="s">
        <v>4</v>
      </c>
      <c r="D64" s="44">
        <f t="shared" ref="D64:I64" si="5">SUM(D41:D61)</f>
        <v>280279.14048888889</v>
      </c>
      <c r="E64" s="44">
        <f t="shared" si="5"/>
        <v>266843.10610844445</v>
      </c>
      <c r="F64" s="44">
        <f t="shared" si="5"/>
        <v>298249.6303527822</v>
      </c>
      <c r="G64" s="44">
        <f t="shared" si="5"/>
        <v>279912.41556689353</v>
      </c>
      <c r="H64" s="44">
        <f t="shared" si="5"/>
        <v>286841.71218956925</v>
      </c>
      <c r="I64" s="44">
        <f t="shared" si="5"/>
        <v>1412126.0047065786</v>
      </c>
      <c r="J64"/>
    </row>
    <row r="65" spans="1:10" x14ac:dyDescent="0.2">
      <c r="D65" s="39"/>
      <c r="E65" s="39"/>
      <c r="F65" s="39"/>
      <c r="G65" s="39"/>
      <c r="H65" s="39"/>
      <c r="I65" s="39"/>
      <c r="J65"/>
    </row>
    <row r="66" spans="1:10" x14ac:dyDescent="0.2">
      <c r="B66" t="s">
        <v>32</v>
      </c>
      <c r="D66" s="39"/>
      <c r="E66" s="39"/>
      <c r="F66" s="39"/>
      <c r="G66" s="39"/>
      <c r="H66" s="39"/>
      <c r="I66" s="39"/>
      <c r="J66"/>
    </row>
    <row r="67" spans="1:10" s="17" customFormat="1" x14ac:dyDescent="0.2">
      <c r="A67" s="59"/>
      <c r="B67" s="55" t="s">
        <v>65</v>
      </c>
      <c r="C67" s="28"/>
      <c r="D67" s="19">
        <f>SUM(D64-D61-D58-D56)</f>
        <v>171355.8704888889</v>
      </c>
      <c r="E67" s="19">
        <f>SUM(E64-E58-E56-E61)</f>
        <v>152362.90530844446</v>
      </c>
      <c r="F67" s="19">
        <f>SUM(F64-F58-F56-F61)</f>
        <v>158190.22152078222</v>
      </c>
      <c r="G67" s="19">
        <f>SUM(G64-G58-G56-G61)</f>
        <v>164250.6303816135</v>
      </c>
      <c r="H67" s="19">
        <f>SUM(H64-H58-H56-H61)</f>
        <v>170553.45559687808</v>
      </c>
      <c r="I67" s="19">
        <f>SUM(D67:H67)</f>
        <v>816713.08329660713</v>
      </c>
      <c r="J67" s="18"/>
    </row>
    <row r="68" spans="1:10" s="17" customFormat="1" x14ac:dyDescent="0.2">
      <c r="A68" s="59"/>
      <c r="B68" s="45" t="s">
        <v>39</v>
      </c>
      <c r="C68" s="46"/>
      <c r="D68" s="47">
        <f t="shared" ref="D68:I68" si="6">SUM(D67:D67)</f>
        <v>171355.8704888889</v>
      </c>
      <c r="E68" s="47">
        <f t="shared" si="6"/>
        <v>152362.90530844446</v>
      </c>
      <c r="F68" s="47">
        <f t="shared" si="6"/>
        <v>158190.22152078222</v>
      </c>
      <c r="G68" s="47">
        <f t="shared" si="6"/>
        <v>164250.6303816135</v>
      </c>
      <c r="H68" s="47">
        <f t="shared" si="6"/>
        <v>170553.45559687808</v>
      </c>
      <c r="I68" s="47">
        <f t="shared" si="6"/>
        <v>816713.08329660713</v>
      </c>
      <c r="J68" s="18"/>
    </row>
    <row r="69" spans="1:10" x14ac:dyDescent="0.2">
      <c r="D69" s="39"/>
      <c r="E69" s="39"/>
      <c r="F69" s="39"/>
      <c r="G69" s="39"/>
      <c r="H69" s="39"/>
      <c r="I69" s="39"/>
    </row>
    <row r="70" spans="1:10" ht="25.5" x14ac:dyDescent="0.2">
      <c r="A70" s="11" t="s">
        <v>79</v>
      </c>
      <c r="B70" s="1" t="s">
        <v>58</v>
      </c>
      <c r="C70" s="24"/>
      <c r="D70" s="2"/>
      <c r="E70" s="2"/>
      <c r="F70" s="2"/>
      <c r="G70" s="2"/>
      <c r="H70" s="2"/>
      <c r="I70" s="2"/>
    </row>
    <row r="71" spans="1:10" x14ac:dyDescent="0.2">
      <c r="B71" s="55" t="s">
        <v>64</v>
      </c>
      <c r="C71" s="16">
        <v>0.65</v>
      </c>
      <c r="D71" s="2">
        <f>D67*C71</f>
        <v>111381.3158177778</v>
      </c>
      <c r="E71" s="2">
        <f>E67*C71</f>
        <v>99035.888450488899</v>
      </c>
      <c r="F71" s="2">
        <f>F67*C71</f>
        <v>102823.64398850844</v>
      </c>
      <c r="G71" s="2">
        <f>G67*C71</f>
        <v>106762.90974804878</v>
      </c>
      <c r="H71" s="2">
        <f>H67*C71</f>
        <v>110859.74613797075</v>
      </c>
      <c r="I71" s="2">
        <f>SUM(D71:H71)</f>
        <v>530863.50414279464</v>
      </c>
      <c r="J71" s="13"/>
    </row>
    <row r="72" spans="1:10" x14ac:dyDescent="0.2">
      <c r="B72" t="s">
        <v>66</v>
      </c>
      <c r="D72" s="4">
        <f t="shared" ref="D72:I72" si="7">SUM(D70:D71)</f>
        <v>111381.3158177778</v>
      </c>
      <c r="E72" s="4">
        <f t="shared" si="7"/>
        <v>99035.888450488899</v>
      </c>
      <c r="F72" s="4">
        <f t="shared" si="7"/>
        <v>102823.64398850844</v>
      </c>
      <c r="G72" s="4">
        <f t="shared" si="7"/>
        <v>106762.90974804878</v>
      </c>
      <c r="H72" s="4">
        <f t="shared" si="7"/>
        <v>110859.74613797075</v>
      </c>
      <c r="I72" s="4">
        <f t="shared" si="7"/>
        <v>530863.50414279464</v>
      </c>
      <c r="J72" s="13"/>
    </row>
    <row r="73" spans="1:10" x14ac:dyDescent="0.2">
      <c r="D73" s="2"/>
      <c r="E73" s="2"/>
      <c r="F73" s="2"/>
      <c r="G73" s="2"/>
      <c r="H73" s="2"/>
      <c r="I73" s="2"/>
      <c r="J73" s="13"/>
    </row>
    <row r="74" spans="1:10" ht="13.5" thickBot="1" x14ac:dyDescent="0.25">
      <c r="B74" s="1" t="s">
        <v>50</v>
      </c>
      <c r="C74" s="24"/>
      <c r="D74" s="6">
        <f>D72+D64</f>
        <v>391660.45630666672</v>
      </c>
      <c r="E74" s="6">
        <f>E72+E64</f>
        <v>365878.99455893337</v>
      </c>
      <c r="F74" s="6">
        <f>F72+F64</f>
        <v>401073.27434129064</v>
      </c>
      <c r="G74" s="6">
        <f>G72+G64</f>
        <v>386675.32531494228</v>
      </c>
      <c r="H74" s="6">
        <f>H72+H64</f>
        <v>397701.45832754002</v>
      </c>
      <c r="I74" s="6">
        <f>SUM(D74:H74)</f>
        <v>1942989.5088493729</v>
      </c>
      <c r="J74" s="13"/>
    </row>
    <row r="75" spans="1:10" ht="13.5" thickTop="1" x14ac:dyDescent="0.2">
      <c r="D75" s="13"/>
      <c r="E75" s="13"/>
      <c r="F75" s="13"/>
      <c r="G75" s="13"/>
      <c r="H75" s="13"/>
      <c r="I75" s="13"/>
      <c r="J75" s="13"/>
    </row>
    <row r="76" spans="1:10" x14ac:dyDescent="0.2">
      <c r="B76" s="1" t="s">
        <v>35</v>
      </c>
      <c r="D76" s="13"/>
      <c r="E76" s="13"/>
      <c r="F76" s="13"/>
      <c r="G76" s="13"/>
      <c r="H76" s="13"/>
      <c r="I76" s="13"/>
      <c r="J76" s="13"/>
    </row>
    <row r="77" spans="1:10" x14ac:dyDescent="0.2">
      <c r="B77" t="s">
        <v>36</v>
      </c>
      <c r="D77" s="13">
        <f>SUM(-(D12))</f>
        <v>-25126.400000000001</v>
      </c>
      <c r="E77" s="13">
        <f>SUM(-(E12))</f>
        <v>-26131.456000000002</v>
      </c>
      <c r="F77" s="13">
        <f>SUM(-(F12))</f>
        <v>-27176.714240000001</v>
      </c>
      <c r="G77" s="13">
        <f>SUM(-(G12))</f>
        <v>-28263.782809600001</v>
      </c>
      <c r="H77" s="13">
        <f>SUM(-(H12))</f>
        <v>-29394.334121984004</v>
      </c>
      <c r="I77" s="2">
        <f>SUM(D77:H77)</f>
        <v>-136092.687171584</v>
      </c>
      <c r="J77" s="13"/>
    </row>
    <row r="78" spans="1:10" x14ac:dyDescent="0.2">
      <c r="B78" t="s">
        <v>16</v>
      </c>
      <c r="D78" s="13">
        <f>D77*C29</f>
        <v>-8618.3552000000018</v>
      </c>
      <c r="E78" s="13">
        <f>E77*C29</f>
        <v>-8963.0894080000016</v>
      </c>
      <c r="F78" s="13">
        <f>F77*C29</f>
        <v>-9321.6129843200015</v>
      </c>
      <c r="G78" s="13">
        <f>G77*C29</f>
        <v>-9694.4775036928004</v>
      </c>
      <c r="H78" s="13">
        <f>H77*C29</f>
        <v>-10082.256603840515</v>
      </c>
      <c r="I78" s="2">
        <f>SUM(D78:H78)</f>
        <v>-46679.791699853326</v>
      </c>
      <c r="J78" s="13"/>
    </row>
    <row r="79" spans="1:10" x14ac:dyDescent="0.2">
      <c r="B79" t="s">
        <v>59</v>
      </c>
      <c r="D79" s="37">
        <f>SUM((D77+D78))*C71</f>
        <v>-21934.09088</v>
      </c>
      <c r="E79" s="37">
        <f>SUM(E77+E78)*C71</f>
        <v>-22811.454515200003</v>
      </c>
      <c r="F79" s="37">
        <f>((F77+F78)*C71)</f>
        <v>-23723.912695808005</v>
      </c>
      <c r="G79" s="37">
        <f>((G77+G78)*C71)</f>
        <v>-24672.869203640323</v>
      </c>
      <c r="H79" s="37">
        <f>(H78+H77)*C71</f>
        <v>-25659.783971785939</v>
      </c>
      <c r="I79" s="37">
        <f>SUM(D79:H79)</f>
        <v>-118802.11126643428</v>
      </c>
      <c r="J79" s="13"/>
    </row>
    <row r="80" spans="1:10" x14ac:dyDescent="0.2">
      <c r="B80" t="s">
        <v>37</v>
      </c>
      <c r="D80" s="13">
        <f>SUM(D77:D79)</f>
        <v>-55678.846080000003</v>
      </c>
      <c r="E80" s="13">
        <f>SUM(E77:E79)</f>
        <v>-57905.999923200012</v>
      </c>
      <c r="F80" s="13">
        <f>SUM(F77:F79)</f>
        <v>-60222.239920128006</v>
      </c>
      <c r="G80" s="13">
        <f>SUM(G77:G79)</f>
        <v>-62631.129516933128</v>
      </c>
      <c r="H80" s="13">
        <f>SUM(H77:H79)</f>
        <v>-65136.374697610459</v>
      </c>
      <c r="I80" s="2">
        <f>SUM(D80:H80)</f>
        <v>-301574.59013787156</v>
      </c>
      <c r="J80" s="13"/>
    </row>
    <row r="81" spans="2:9" x14ac:dyDescent="0.2">
      <c r="D81" s="2"/>
      <c r="E81" s="2"/>
      <c r="F81" s="2"/>
      <c r="G81" s="2"/>
      <c r="H81" s="2"/>
      <c r="I81" s="2"/>
    </row>
    <row r="82" spans="2:9" ht="13.5" thickBot="1" x14ac:dyDescent="0.25">
      <c r="B82" s="1" t="s">
        <v>38</v>
      </c>
      <c r="C82" s="24"/>
      <c r="D82" s="6">
        <f t="shared" ref="D82:I82" si="8">D64+D72+D80</f>
        <v>335981.61022666673</v>
      </c>
      <c r="E82" s="6">
        <f t="shared" si="8"/>
        <v>307972.99463573337</v>
      </c>
      <c r="F82" s="6">
        <f t="shared" si="8"/>
        <v>340851.03442116262</v>
      </c>
      <c r="G82" s="6">
        <f t="shared" si="8"/>
        <v>324044.19579800917</v>
      </c>
      <c r="H82" s="6">
        <f t="shared" si="8"/>
        <v>332565.08362992958</v>
      </c>
      <c r="I82" s="6">
        <f t="shared" si="8"/>
        <v>1641414.9187115016</v>
      </c>
    </row>
    <row r="83" spans="2:9" ht="13.5" thickTop="1" x14ac:dyDescent="0.2">
      <c r="D83" s="3"/>
      <c r="E83" s="3"/>
      <c r="F83" s="3"/>
      <c r="G83" s="3"/>
      <c r="H83" s="3"/>
      <c r="I83" s="3"/>
    </row>
    <row r="84" spans="2:9" x14ac:dyDescent="0.2">
      <c r="B84" t="s">
        <v>15</v>
      </c>
    </row>
    <row r="85" spans="2:9" x14ac:dyDescent="0.2">
      <c r="B85" s="63" t="s">
        <v>82</v>
      </c>
    </row>
    <row r="86" spans="2:9" x14ac:dyDescent="0.2">
      <c r="B86" s="63" t="s">
        <v>83</v>
      </c>
    </row>
    <row r="87" spans="2:9" x14ac:dyDescent="0.2">
      <c r="B87" s="63" t="s">
        <v>92</v>
      </c>
    </row>
    <row r="88" spans="2:9" x14ac:dyDescent="0.2">
      <c r="B88" s="63" t="s">
        <v>93</v>
      </c>
    </row>
    <row r="89" spans="2:9" x14ac:dyDescent="0.2">
      <c r="B89" s="63" t="s">
        <v>94</v>
      </c>
    </row>
    <row r="91" spans="2:9" x14ac:dyDescent="0.2">
      <c r="B91" s="63" t="s">
        <v>97</v>
      </c>
    </row>
    <row r="92" spans="2:9" x14ac:dyDescent="0.2">
      <c r="B92" s="63" t="s">
        <v>60</v>
      </c>
    </row>
    <row r="94" spans="2:9" x14ac:dyDescent="0.2">
      <c r="B94" t="s">
        <v>16</v>
      </c>
    </row>
    <row r="95" spans="2:9" x14ac:dyDescent="0.2">
      <c r="B95" s="63" t="s">
        <v>98</v>
      </c>
      <c r="C95" s="25">
        <v>0.34300000000000003</v>
      </c>
      <c r="D95" s="63" t="s">
        <v>44</v>
      </c>
    </row>
    <row r="96" spans="2:9" x14ac:dyDescent="0.2">
      <c r="B96" s="63" t="s">
        <v>99</v>
      </c>
      <c r="C96" s="25">
        <v>0.34300000000000003</v>
      </c>
      <c r="D96" s="64" t="s">
        <v>43</v>
      </c>
    </row>
    <row r="97" spans="2:4" x14ac:dyDescent="0.2">
      <c r="B97" s="63" t="s">
        <v>98</v>
      </c>
      <c r="C97" s="25">
        <v>0.245</v>
      </c>
      <c r="D97" s="63" t="s">
        <v>61</v>
      </c>
    </row>
    <row r="98" spans="2:4" x14ac:dyDescent="0.2">
      <c r="B98" s="63" t="s">
        <v>99</v>
      </c>
      <c r="C98" s="25">
        <v>0.245</v>
      </c>
      <c r="D98" s="64" t="s">
        <v>62</v>
      </c>
    </row>
    <row r="99" spans="2:4" x14ac:dyDescent="0.2">
      <c r="B99" s="63"/>
      <c r="D99" s="7"/>
    </row>
    <row r="100" spans="2:4" x14ac:dyDescent="0.2">
      <c r="B100" t="s">
        <v>63</v>
      </c>
      <c r="D100" s="7"/>
    </row>
    <row r="101" spans="2:4" x14ac:dyDescent="0.2">
      <c r="B101" s="54" t="s">
        <v>51</v>
      </c>
      <c r="C101" s="25">
        <v>0.65</v>
      </c>
      <c r="D101" t="s">
        <v>17</v>
      </c>
    </row>
    <row r="102" spans="2:4" x14ac:dyDescent="0.2">
      <c r="B102" s="54" t="s">
        <v>52</v>
      </c>
      <c r="C102" s="25">
        <v>0.65</v>
      </c>
      <c r="D102" s="7" t="s">
        <v>18</v>
      </c>
    </row>
  </sheetData>
  <phoneticPr fontId="0" type="noConversion"/>
  <pageMargins left="0.5" right="0.5" top="0.5" bottom="0.5" header="0.32" footer="0.17"/>
  <pageSetup scale="84" fitToHeight="0" orientation="portrait" r:id="rId1"/>
  <headerFooter alignWithMargins="0"/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Fac. Acad. Time</vt:lpstr>
      <vt:lpstr>'Fac. Acad. Time'!Print_Titles</vt:lpstr>
    </vt:vector>
  </TitlesOfParts>
  <Company>USC EFO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Page 1</dc:title>
  <dc:creator>slf</dc:creator>
  <cp:lastModifiedBy>Nichole Phillips</cp:lastModifiedBy>
  <cp:lastPrinted>2008-11-06T22:45:59Z</cp:lastPrinted>
  <dcterms:created xsi:type="dcterms:W3CDTF">2001-01-26T23:48:01Z</dcterms:created>
  <dcterms:modified xsi:type="dcterms:W3CDTF">2022-07-01T20:08:59Z</dcterms:modified>
</cp:coreProperties>
</file>