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BA\Fin\Research Administration\Website\Budget Samples\"/>
    </mc:Choice>
  </mc:AlternateContent>
  <xr:revisionPtr revIDLastSave="0" documentId="13_ncr:1_{DC77CD46-0B17-4BF5-978E-0195727E8514}" xr6:coauthVersionLast="36" xr6:coauthVersionMax="36" xr10:uidLastSave="{00000000-0000-0000-0000-000000000000}"/>
  <bookViews>
    <workbookView xWindow="0" yWindow="0" windowWidth="19365" windowHeight="14325" xr2:uid="{00000000-000D-0000-FFFF-FFFF00000000}"/>
  </bookViews>
  <sheets>
    <sheet name="NIH Cap" sheetId="2" r:id="rId1"/>
  </sheets>
  <definedNames>
    <definedName name="_xlnm.Print_Titles" localSheetId="0">'NIH Cap'!$1:$7</definedName>
  </definedNames>
  <calcPr calcId="191029"/>
</workbook>
</file>

<file path=xl/calcChain.xml><?xml version="1.0" encoding="utf-8"?>
<calcChain xmlns="http://schemas.openxmlformats.org/spreadsheetml/2006/main">
  <c r="D22" i="2" l="1"/>
  <c r="D74" i="2" l="1"/>
  <c r="D53" i="2"/>
  <c r="I44" i="2"/>
  <c r="I43" i="2"/>
  <c r="E35" i="2"/>
  <c r="D35" i="2"/>
  <c r="D17" i="2"/>
  <c r="D12" i="2"/>
  <c r="D38" i="2" l="1"/>
  <c r="E38" i="2"/>
  <c r="E53" i="2"/>
  <c r="F53" i="2" s="1"/>
  <c r="E12" i="2"/>
  <c r="F12" i="2" s="1"/>
  <c r="G12" i="2" s="1"/>
  <c r="H12" i="2" s="1"/>
  <c r="E74" i="2"/>
  <c r="D77" i="2"/>
  <c r="D78" i="2" s="1"/>
  <c r="D79" i="2" s="1"/>
  <c r="E17" i="2"/>
  <c r="F17" i="2" s="1"/>
  <c r="G17" i="2" s="1"/>
  <c r="H17" i="2" s="1"/>
  <c r="E22" i="2"/>
  <c r="E29" i="2" s="1"/>
  <c r="I56" i="2"/>
  <c r="I51" i="2"/>
  <c r="I50" i="2"/>
  <c r="I46" i="2"/>
  <c r="D29" i="2"/>
  <c r="D25" i="2"/>
  <c r="D28" i="2" s="1"/>
  <c r="F35" i="2" l="1"/>
  <c r="E77" i="2"/>
  <c r="E78" i="2" s="1"/>
  <c r="E79" i="2" s="1"/>
  <c r="F74" i="2"/>
  <c r="I17" i="2"/>
  <c r="I12" i="2"/>
  <c r="G53" i="2"/>
  <c r="H53" i="2" s="1"/>
  <c r="F22" i="2"/>
  <c r="E25" i="2"/>
  <c r="E28" i="2" s="1"/>
  <c r="E30" i="2" s="1"/>
  <c r="D30" i="2"/>
  <c r="D40" i="2" s="1"/>
  <c r="D59" i="2" s="1"/>
  <c r="D62" i="2" s="1"/>
  <c r="G35" i="2" l="1"/>
  <c r="F38" i="2"/>
  <c r="G74" i="2"/>
  <c r="F77" i="2"/>
  <c r="I53" i="2"/>
  <c r="E40" i="2"/>
  <c r="E59" i="2" s="1"/>
  <c r="E62" i="2" s="1"/>
  <c r="E66" i="2" s="1"/>
  <c r="E67" i="2" s="1"/>
  <c r="E69" i="2" s="1"/>
  <c r="F25" i="2"/>
  <c r="F28" i="2" s="1"/>
  <c r="G22" i="2"/>
  <c r="F29" i="2"/>
  <c r="D63" i="2"/>
  <c r="D66" i="2"/>
  <c r="H35" i="2" l="1"/>
  <c r="G38" i="2"/>
  <c r="F78" i="2"/>
  <c r="G77" i="2"/>
  <c r="G78" i="2" s="1"/>
  <c r="G79" i="2" s="1"/>
  <c r="H74" i="2"/>
  <c r="E63" i="2"/>
  <c r="H22" i="2"/>
  <c r="G25" i="2"/>
  <c r="G28" i="2" s="1"/>
  <c r="G29" i="2"/>
  <c r="F30" i="2"/>
  <c r="F40" i="2" s="1"/>
  <c r="F59" i="2" s="1"/>
  <c r="F62" i="2" s="1"/>
  <c r="D67" i="2"/>
  <c r="D69" i="2" s="1"/>
  <c r="H38" i="2" l="1"/>
  <c r="I35" i="2"/>
  <c r="I38" i="2" s="1"/>
  <c r="H77" i="2"/>
  <c r="H78" i="2" s="1"/>
  <c r="H79" i="2" s="1"/>
  <c r="I74" i="2"/>
  <c r="F79" i="2"/>
  <c r="H25" i="2"/>
  <c r="H29" i="2"/>
  <c r="I29" i="2" s="1"/>
  <c r="I22" i="2"/>
  <c r="I25" i="2" s="1"/>
  <c r="F66" i="2"/>
  <c r="F63" i="2"/>
  <c r="G30" i="2"/>
  <c r="G40" i="2" s="1"/>
  <c r="G59" i="2" s="1"/>
  <c r="G62" i="2" s="1"/>
  <c r="I78" i="2" l="1"/>
  <c r="I77" i="2"/>
  <c r="I79" i="2" s="1"/>
  <c r="H28" i="2"/>
  <c r="G66" i="2"/>
  <c r="G67" i="2" s="1"/>
  <c r="G69" i="2" s="1"/>
  <c r="G63" i="2"/>
  <c r="F67" i="2"/>
  <c r="F69" i="2" s="1"/>
  <c r="H30" i="2" l="1"/>
  <c r="H40" i="2" s="1"/>
  <c r="H59" i="2" s="1"/>
  <c r="H62" i="2" s="1"/>
  <c r="I28" i="2"/>
  <c r="I30" i="2" s="1"/>
  <c r="I40" i="2" s="1"/>
  <c r="I59" i="2" s="1"/>
  <c r="H63" i="2" l="1"/>
  <c r="H66" i="2"/>
  <c r="I62" i="2"/>
  <c r="I63" i="2" s="1"/>
  <c r="H67" i="2" l="1"/>
  <c r="H69" i="2" s="1"/>
  <c r="I69" i="2" s="1"/>
  <c r="I66" i="2"/>
  <c r="I67" i="2" s="1"/>
</calcChain>
</file>

<file path=xl/sharedStrings.xml><?xml version="1.0" encoding="utf-8"?>
<sst xmlns="http://schemas.openxmlformats.org/spreadsheetml/2006/main" count="100" uniqueCount="93">
  <si>
    <t>For USC Internal Use Only</t>
  </si>
  <si>
    <t>Rates</t>
  </si>
  <si>
    <t>Principal Investigator</t>
  </si>
  <si>
    <t>Total</t>
  </si>
  <si>
    <t>Total Direct Costs</t>
  </si>
  <si>
    <t>SALARIES</t>
  </si>
  <si>
    <t>5% effort, 12 months</t>
  </si>
  <si>
    <t>TOTAL SALARIES</t>
  </si>
  <si>
    <t>Total Compensation</t>
  </si>
  <si>
    <t>WAGES NOT SUBJECT TO FB</t>
  </si>
  <si>
    <t>Software additional supplies</t>
  </si>
  <si>
    <t>TRAVEL</t>
  </si>
  <si>
    <t>MATERIALS &amp; SUPPLIES</t>
  </si>
  <si>
    <t>Notes:</t>
  </si>
  <si>
    <t>Fringe Benefits</t>
  </si>
  <si>
    <t>Predetermined</t>
  </si>
  <si>
    <t>Provisional</t>
  </si>
  <si>
    <t>FRINGE BENEFITS</t>
  </si>
  <si>
    <t>Sally Trojan</t>
  </si>
  <si>
    <t>15% effort, 9 acad. Months</t>
  </si>
  <si>
    <t>Edward Bruin</t>
  </si>
  <si>
    <t>Post-Doc</t>
  </si>
  <si>
    <t>TBH</t>
  </si>
  <si>
    <t>50% effort, 12  months</t>
  </si>
  <si>
    <t>Graduate Research Assistant</t>
  </si>
  <si>
    <t>PI:  Sally Trojan</t>
  </si>
  <si>
    <t>To attend conference/meeting on East Coast</t>
  </si>
  <si>
    <t>TUITION REMISSION</t>
  </si>
  <si>
    <t>SUBAWARD</t>
  </si>
  <si>
    <t>UCLA (first $25,000)</t>
  </si>
  <si>
    <t xml:space="preserve">UCLA </t>
  </si>
  <si>
    <t>F &amp; A Base (Total Direct Costs less equipment and tuition and only first $25,000 of Subaward)</t>
  </si>
  <si>
    <t>EQUIPMENT</t>
  </si>
  <si>
    <t>NIH Excess Compensation Calculator</t>
  </si>
  <si>
    <t>Academic Excess</t>
  </si>
  <si>
    <t>Fringe</t>
  </si>
  <si>
    <t>Total Excess</t>
  </si>
  <si>
    <t>TOTAL COST TO AGENCY</t>
  </si>
  <si>
    <t>Total Base</t>
  </si>
  <si>
    <t>Cost Estimate:  National Insitute of Health</t>
  </si>
  <si>
    <t>Co-Investigator</t>
  </si>
  <si>
    <t>TOTAL FRINGE BENEFITS</t>
  </si>
  <si>
    <t>TOTAL WAGES</t>
  </si>
  <si>
    <t>High powered micrscope</t>
  </si>
  <si>
    <t>Faculty &amp; Staff Provisional</t>
  </si>
  <si>
    <t>Faculty &amp; Staff Predetermined</t>
  </si>
  <si>
    <t>07/01/16 - 06/30/2020</t>
  </si>
  <si>
    <t>07/01/20 - Future</t>
  </si>
  <si>
    <t>50% effort, 12 months</t>
  </si>
  <si>
    <t>10/01/22 to 09/30/23</t>
  </si>
  <si>
    <t>10/01/23 to 09/30/24</t>
  </si>
  <si>
    <t>10/01/24 to 09/30/25</t>
  </si>
  <si>
    <t>F&amp;A (INDIRECT COSTS)</t>
  </si>
  <si>
    <t>FY 21 &amp; Future</t>
  </si>
  <si>
    <t>F &amp; A Base FY 21 &amp; Future</t>
  </si>
  <si>
    <t>Facilities and Administration/Indirect Cost Rates apply:</t>
  </si>
  <si>
    <t>Post-doc Predetermined</t>
  </si>
  <si>
    <t>Post-doc hired  Provisional</t>
  </si>
  <si>
    <t>Facilities and Administration/Indirect Costs</t>
  </si>
  <si>
    <t>Total F&amp;A Costs</t>
  </si>
  <si>
    <t>10/01/25 to 09/30/26</t>
  </si>
  <si>
    <t>WD Object Class Code</t>
  </si>
  <si>
    <t>Personnel_Subject_to_FB</t>
  </si>
  <si>
    <t>Faculty-Exempt Salary</t>
  </si>
  <si>
    <t>Postdoctoral Scholar Salary</t>
  </si>
  <si>
    <t>Fringe_Benefits</t>
  </si>
  <si>
    <t>Graduate Assistant</t>
  </si>
  <si>
    <t>Materials_Supplies</t>
  </si>
  <si>
    <t>Domestic_Travel</t>
  </si>
  <si>
    <t>Subaward (SC0600)</t>
  </si>
  <si>
    <t>Tuition_Aid</t>
  </si>
  <si>
    <t>Equipment</t>
  </si>
  <si>
    <t>Facilities_and_Administration</t>
  </si>
  <si>
    <t>Base Salary 21-22:  $115,000/12</t>
  </si>
  <si>
    <t>Base Salary 21-22:  $160,000/9</t>
  </si>
  <si>
    <t>An annual 3% increase was given to the 9 month faculty beginning August 16, 2022.</t>
  </si>
  <si>
    <t>An annual 3% increase was given to the 12 month faculty beginning July 1, 2022.</t>
  </si>
  <si>
    <t>Research Period October 1, 2022 to September  30, 2027</t>
  </si>
  <si>
    <t>10/01/26 to 09/30/27</t>
  </si>
  <si>
    <t>2022 NIH salary cap:  $203,700/12</t>
  </si>
  <si>
    <t>Personnel_Not_Subject_to_FB</t>
  </si>
  <si>
    <t xml:space="preserve">Base Salary 22-23:  $76,000/12 </t>
  </si>
  <si>
    <t xml:space="preserve">Base Salary 23-24:  $80,000/12 </t>
  </si>
  <si>
    <t>Publication</t>
  </si>
  <si>
    <t>FY 23-6 units/year/RA @ $2,309/unit</t>
  </si>
  <si>
    <t>An annual 3% increase was given to the 12 post-doc beginning July 1, 2023.</t>
  </si>
  <si>
    <t>An annual 3% increase was given to the GRA beginning August 16, 2024.</t>
  </si>
  <si>
    <t>An annual 3% increase was added to the Tuition beginning August 16, 2023.</t>
  </si>
  <si>
    <t>Base Salary 22-23:  $65,000/12</t>
  </si>
  <si>
    <t xml:space="preserve">  FY 23 &amp; Future</t>
  </si>
  <si>
    <t xml:space="preserve">Per the Federal Rate Agreement from June 15, 2022 the following Fringe Benefit and </t>
  </si>
  <si>
    <t>07/01/22 - 06/30/23</t>
  </si>
  <si>
    <t>07/01/23 - Future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</si>
</sst>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1" fillId="0" borderId="0" xfId="1" applyNumberFormat="1"/>
    <xf numFmtId="164" fontId="0" fillId="0" borderId="1" xfId="1" applyNumberFormat="1" applyFont="1" applyBorder="1"/>
    <xf numFmtId="0" fontId="4" fillId="0" borderId="0" xfId="0" applyFont="1"/>
    <xf numFmtId="164" fontId="2" fillId="0" borderId="2" xfId="1" applyNumberFormat="1" applyFont="1" applyBorder="1"/>
    <xf numFmtId="0" fontId="3" fillId="0" borderId="0" xfId="0" applyFont="1"/>
    <xf numFmtId="0" fontId="2" fillId="0" borderId="0" xfId="0" applyFont="1" applyAlignment="1"/>
    <xf numFmtId="0" fontId="0" fillId="0" borderId="0" xfId="0" applyAlignment="1"/>
    <xf numFmtId="0" fontId="0" fillId="0" borderId="0" xfId="0" applyBorder="1"/>
    <xf numFmtId="0" fontId="0" fillId="0" borderId="0" xfId="0" applyAlignment="1">
      <alignment wrapText="1"/>
    </xf>
    <xf numFmtId="164" fontId="2" fillId="0" borderId="3" xfId="1" applyNumberFormat="1" applyFont="1" applyBorder="1" applyAlignment="1">
      <alignment horizontal="center" wrapText="1"/>
    </xf>
    <xf numFmtId="164" fontId="0" fillId="0" borderId="0" xfId="1" applyNumberFormat="1" applyFont="1" applyBorder="1"/>
    <xf numFmtId="0" fontId="3" fillId="0" borderId="0" xfId="0" applyFont="1" applyBorder="1"/>
    <xf numFmtId="0" fontId="5" fillId="0" borderId="0" xfId="0" applyFont="1"/>
    <xf numFmtId="10" fontId="6" fillId="2" borderId="0" xfId="2" applyNumberFormat="1" applyFont="1" applyFill="1"/>
    <xf numFmtId="0" fontId="6" fillId="0" borderId="0" xfId="0" applyFont="1"/>
    <xf numFmtId="0" fontId="6" fillId="0" borderId="0" xfId="0" applyFont="1" applyBorder="1"/>
    <xf numFmtId="164" fontId="6" fillId="3" borderId="0" xfId="1" applyNumberFormat="1" applyFont="1" applyFill="1" applyBorder="1"/>
    <xf numFmtId="164" fontId="3" fillId="0" borderId="1" xfId="1" applyNumberFormat="1" applyFont="1" applyBorder="1"/>
    <xf numFmtId="0" fontId="3" fillId="0" borderId="0" xfId="0" applyFont="1" applyBorder="1" applyAlignment="1">
      <alignment wrapText="1"/>
    </xf>
    <xf numFmtId="164" fontId="2" fillId="0" borderId="0" xfId="1" applyNumberFormat="1" applyFont="1" applyBorder="1" applyAlignment="1">
      <alignment horizontal="center" wrapText="1"/>
    </xf>
    <xf numFmtId="10" fontId="5" fillId="0" borderId="0" xfId="2" applyNumberFormat="1" applyFont="1" applyAlignment="1"/>
    <xf numFmtId="10" fontId="5" fillId="0" borderId="0" xfId="2" applyNumberFormat="1" applyFont="1"/>
    <xf numFmtId="10" fontId="6" fillId="0" borderId="0" xfId="2" applyNumberFormat="1" applyFont="1"/>
    <xf numFmtId="10" fontId="6" fillId="0" borderId="3" xfId="2" applyNumberFormat="1" applyFont="1" applyBorder="1" applyAlignment="1">
      <alignment wrapText="1"/>
    </xf>
    <xf numFmtId="10" fontId="6" fillId="0" borderId="0" xfId="2" applyNumberFormat="1" applyFont="1" applyBorder="1" applyAlignment="1">
      <alignment wrapText="1"/>
    </xf>
    <xf numFmtId="10" fontId="6" fillId="3" borderId="0" xfId="2" applyNumberFormat="1" applyFont="1" applyFill="1"/>
    <xf numFmtId="10" fontId="7" fillId="0" borderId="0" xfId="2" applyNumberFormat="1" applyFont="1"/>
    <xf numFmtId="0" fontId="8" fillId="0" borderId="0" xfId="0" applyFont="1"/>
    <xf numFmtId="10" fontId="9" fillId="0" borderId="0" xfId="2" applyNumberFormat="1" applyFont="1"/>
    <xf numFmtId="0" fontId="10" fillId="0" borderId="0" xfId="0" applyFont="1"/>
    <xf numFmtId="0" fontId="10" fillId="0" borderId="0" xfId="0" applyFont="1" applyBorder="1"/>
    <xf numFmtId="164" fontId="11" fillId="0" borderId="0" xfId="1" applyNumberFormat="1" applyFont="1" applyBorder="1" applyAlignment="1">
      <alignment horizontal="center" wrapText="1"/>
    </xf>
    <xf numFmtId="0" fontId="11" fillId="0" borderId="0" xfId="0" applyFont="1"/>
    <xf numFmtId="0" fontId="2" fillId="0" borderId="0" xfId="0" applyFont="1" applyBorder="1" applyAlignment="1">
      <alignment wrapText="1"/>
    </xf>
    <xf numFmtId="0" fontId="11" fillId="0" borderId="0" xfId="0" applyFont="1" applyBorder="1"/>
    <xf numFmtId="164" fontId="0" fillId="0" borderId="3" xfId="1" applyNumberFormat="1" applyFont="1" applyBorder="1"/>
    <xf numFmtId="164" fontId="2" fillId="0" borderId="0" xfId="1" applyNumberFormat="1" applyFont="1" applyBorder="1"/>
    <xf numFmtId="0" fontId="2" fillId="0" borderId="4" xfId="0" applyFont="1" applyBorder="1"/>
    <xf numFmtId="10" fontId="6" fillId="0" borderId="5" xfId="2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0" fontId="0" fillId="0" borderId="7" xfId="0" applyBorder="1"/>
    <xf numFmtId="164" fontId="0" fillId="0" borderId="8" xfId="1" applyNumberFormat="1" applyFont="1" applyBorder="1"/>
    <xf numFmtId="10" fontId="6" fillId="0" borderId="0" xfId="2" applyNumberFormat="1" applyFont="1" applyBorder="1"/>
    <xf numFmtId="164" fontId="0" fillId="0" borderId="9" xfId="1" applyNumberFormat="1" applyFont="1" applyBorder="1"/>
    <xf numFmtId="0" fontId="2" fillId="0" borderId="10" xfId="0" applyFont="1" applyBorder="1"/>
    <xf numFmtId="10" fontId="5" fillId="0" borderId="11" xfId="2" applyNumberFormat="1" applyFont="1" applyBorder="1"/>
    <xf numFmtId="164" fontId="2" fillId="0" borderId="11" xfId="1" applyNumberFormat="1" applyFont="1" applyBorder="1"/>
    <xf numFmtId="164" fontId="2" fillId="0" borderId="12" xfId="1" applyNumberFormat="1" applyFont="1" applyBorder="1"/>
    <xf numFmtId="164" fontId="3" fillId="0" borderId="0" xfId="1" applyNumberFormat="1" applyFont="1"/>
    <xf numFmtId="164" fontId="12" fillId="0" borderId="0" xfId="1" applyNumberFormat="1" applyFont="1"/>
    <xf numFmtId="164" fontId="3" fillId="0" borderId="0" xfId="1" applyNumberFormat="1" applyFont="1" applyBorder="1" applyAlignment="1">
      <alignment horizontal="center" wrapText="1"/>
    </xf>
    <xf numFmtId="164" fontId="3" fillId="0" borderId="3" xfId="1" applyNumberFormat="1" applyFont="1" applyBorder="1"/>
    <xf numFmtId="43" fontId="12" fillId="0" borderId="0" xfId="1" applyNumberFormat="1" applyFont="1"/>
    <xf numFmtId="0" fontId="12" fillId="0" borderId="0" xfId="0" applyFont="1"/>
    <xf numFmtId="164" fontId="12" fillId="0" borderId="1" xfId="1" applyNumberFormat="1" applyFont="1" applyBorder="1"/>
    <xf numFmtId="0" fontId="3" fillId="0" borderId="0" xfId="0" applyFont="1" applyFill="1" applyAlignment="1">
      <alignment horizontal="left" indent="1"/>
    </xf>
    <xf numFmtId="10" fontId="6" fillId="0" borderId="0" xfId="2" applyNumberFormat="1" applyFont="1" applyFill="1"/>
    <xf numFmtId="164" fontId="6" fillId="0" borderId="1" xfId="1" applyNumberFormat="1" applyFont="1" applyFill="1" applyBorder="1"/>
    <xf numFmtId="0" fontId="3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164" fontId="2" fillId="0" borderId="3" xfId="1" quotePrefix="1" applyNumberFormat="1" applyFont="1" applyBorder="1" applyAlignment="1">
      <alignment horizontal="center" wrapText="1"/>
    </xf>
    <xf numFmtId="0" fontId="4" fillId="0" borderId="0" xfId="0" quotePrefix="1" applyFont="1" applyAlignment="1">
      <alignment horizontal="left"/>
    </xf>
    <xf numFmtId="0" fontId="3" fillId="0" borderId="7" xfId="0" quotePrefix="1" applyFont="1" applyBorder="1" applyAlignment="1">
      <alignment horizontal="left"/>
    </xf>
    <xf numFmtId="0" fontId="0" fillId="0" borderId="0" xfId="0" quotePrefix="1" applyAlignment="1">
      <alignment horizontal="left"/>
    </xf>
    <xf numFmtId="0" fontId="3" fillId="3" borderId="0" xfId="0" quotePrefix="1" applyFont="1" applyFill="1" applyAlignment="1">
      <alignment horizontal="left" indent="1"/>
    </xf>
    <xf numFmtId="164" fontId="13" fillId="0" borderId="0" xfId="1" applyNumberFormat="1" applyFont="1"/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0" xfId="0" quotePrefix="1" applyFont="1" applyAlignment="1">
      <alignment horizontal="left"/>
    </xf>
    <xf numFmtId="0" fontId="1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1"/>
  <sheetViews>
    <sheetView tabSelected="1" zoomScaleNormal="100" workbookViewId="0">
      <pane ySplit="7" topLeftCell="A8" activePane="bottomLeft" state="frozen"/>
      <selection pane="bottomLeft"/>
    </sheetView>
  </sheetViews>
  <sheetFormatPr defaultColWidth="11.42578125" defaultRowHeight="12.75" x14ac:dyDescent="0.2"/>
  <cols>
    <col min="1" max="1" width="14.7109375" style="11" customWidth="1"/>
    <col min="2" max="2" width="28.42578125" customWidth="1"/>
    <col min="3" max="3" width="8.85546875" style="25" customWidth="1"/>
    <col min="4" max="4" width="11.7109375" customWidth="1"/>
    <col min="5" max="5" width="12" customWidth="1"/>
    <col min="6" max="6" width="12.28515625" customWidth="1"/>
    <col min="7" max="7" width="13.7109375" customWidth="1"/>
    <col min="8" max="8" width="13.140625" customWidth="1"/>
    <col min="9" max="9" width="15.7109375" customWidth="1"/>
    <col min="10" max="10" width="9.140625" style="10" customWidth="1"/>
  </cols>
  <sheetData>
    <row r="1" spans="1:10" s="32" customFormat="1" ht="15" x14ac:dyDescent="0.2">
      <c r="A1" s="70"/>
      <c r="B1" s="30" t="s">
        <v>0</v>
      </c>
      <c r="C1" s="31"/>
      <c r="J1" s="33"/>
    </row>
    <row r="3" spans="1:10" x14ac:dyDescent="0.2">
      <c r="B3" s="8" t="s">
        <v>39</v>
      </c>
      <c r="C3" s="23"/>
      <c r="D3" s="9"/>
      <c r="E3" s="9"/>
      <c r="F3" s="9"/>
      <c r="G3" s="9"/>
      <c r="H3" s="9"/>
      <c r="I3" s="9"/>
    </row>
    <row r="4" spans="1:10" x14ac:dyDescent="0.2">
      <c r="B4" s="1" t="s">
        <v>25</v>
      </c>
      <c r="C4" s="24"/>
      <c r="D4" s="53"/>
      <c r="E4" s="53"/>
      <c r="F4" s="53"/>
      <c r="G4" s="53"/>
      <c r="H4" s="53"/>
      <c r="I4" s="53"/>
    </row>
    <row r="5" spans="1:10" x14ac:dyDescent="0.2">
      <c r="B5" s="63" t="s">
        <v>77</v>
      </c>
      <c r="C5" s="23"/>
      <c r="D5" s="9"/>
      <c r="E5" s="9"/>
      <c r="F5" s="9"/>
      <c r="G5" s="9"/>
      <c r="H5" s="9"/>
      <c r="I5" s="53"/>
      <c r="J5"/>
    </row>
    <row r="6" spans="1:10" x14ac:dyDescent="0.2">
      <c r="D6" s="2"/>
      <c r="E6" s="2"/>
      <c r="F6" s="2"/>
      <c r="G6" s="2"/>
      <c r="H6" s="2"/>
      <c r="I6" s="2"/>
      <c r="J6"/>
    </row>
    <row r="7" spans="1:10" s="11" customFormat="1" ht="25.5" x14ac:dyDescent="0.2">
      <c r="A7" s="11" t="s">
        <v>61</v>
      </c>
      <c r="B7" s="74"/>
      <c r="C7" s="26" t="s">
        <v>1</v>
      </c>
      <c r="D7" s="64" t="s">
        <v>49</v>
      </c>
      <c r="E7" s="64" t="s">
        <v>50</v>
      </c>
      <c r="F7" s="64" t="s">
        <v>51</v>
      </c>
      <c r="G7" s="64" t="s">
        <v>60</v>
      </c>
      <c r="H7" s="64" t="s">
        <v>78</v>
      </c>
      <c r="I7" s="12" t="s">
        <v>3</v>
      </c>
    </row>
    <row r="8" spans="1:10" s="11" customFormat="1" ht="25.5" x14ac:dyDescent="0.2">
      <c r="A8" s="11" t="s">
        <v>62</v>
      </c>
      <c r="B8" s="36" t="s">
        <v>5</v>
      </c>
      <c r="C8" s="27"/>
      <c r="D8" s="22"/>
      <c r="E8" s="22"/>
      <c r="F8" s="22"/>
      <c r="G8" s="22"/>
      <c r="H8" s="22"/>
      <c r="I8" s="22"/>
    </row>
    <row r="9" spans="1:10" s="11" customFormat="1" x14ac:dyDescent="0.2">
      <c r="B9" s="21"/>
      <c r="C9" s="27"/>
      <c r="D9" s="22"/>
      <c r="E9" s="22"/>
      <c r="F9" s="22"/>
      <c r="G9" s="22"/>
      <c r="H9" s="22"/>
      <c r="I9" s="22"/>
    </row>
    <row r="10" spans="1:10" s="11" customFormat="1" ht="25.5" x14ac:dyDescent="0.2">
      <c r="A10" s="11" t="s">
        <v>63</v>
      </c>
      <c r="B10" s="35" t="s">
        <v>2</v>
      </c>
      <c r="C10" s="27"/>
      <c r="D10" s="22"/>
      <c r="E10" s="22"/>
      <c r="F10" s="22"/>
      <c r="G10" s="22"/>
      <c r="H10" s="22"/>
      <c r="I10" s="22"/>
    </row>
    <row r="11" spans="1:10" s="11" customFormat="1" x14ac:dyDescent="0.2">
      <c r="B11" t="s">
        <v>18</v>
      </c>
      <c r="C11" s="27"/>
      <c r="D11" s="22"/>
      <c r="E11" s="22"/>
      <c r="F11" s="22"/>
      <c r="G11" s="22"/>
      <c r="H11" s="22"/>
      <c r="I11" s="22"/>
    </row>
    <row r="12" spans="1:10" s="11" customFormat="1" x14ac:dyDescent="0.2">
      <c r="B12" t="s">
        <v>19</v>
      </c>
      <c r="C12" s="27"/>
      <c r="D12" s="34">
        <f>SUM(203700)/12*9*15%</f>
        <v>22916.25</v>
      </c>
      <c r="E12" s="34">
        <f>SUM(D12)</f>
        <v>22916.25</v>
      </c>
      <c r="F12" s="34">
        <f>SUM(E12)</f>
        <v>22916.25</v>
      </c>
      <c r="G12" s="34">
        <f>SUM(F12)</f>
        <v>22916.25</v>
      </c>
      <c r="H12" s="34">
        <f>SUM(G12)</f>
        <v>22916.25</v>
      </c>
      <c r="I12" s="34">
        <f>SUM(D12:H12)</f>
        <v>114581.25</v>
      </c>
    </row>
    <row r="13" spans="1:10" s="11" customFormat="1" x14ac:dyDescent="0.2">
      <c r="B13" s="75" t="s">
        <v>79</v>
      </c>
      <c r="C13" s="27"/>
      <c r="D13" s="22"/>
      <c r="E13" s="22"/>
      <c r="F13" s="22"/>
      <c r="G13" s="22"/>
      <c r="H13" s="22"/>
      <c r="I13" s="22"/>
    </row>
    <row r="14" spans="1:10" s="11" customFormat="1" x14ac:dyDescent="0.2">
      <c r="B14" s="21"/>
      <c r="C14" s="27"/>
      <c r="D14" s="22"/>
      <c r="E14" s="22"/>
      <c r="F14" s="22"/>
      <c r="G14" s="22"/>
      <c r="H14" s="22"/>
      <c r="I14" s="22"/>
    </row>
    <row r="15" spans="1:10" ht="25.5" x14ac:dyDescent="0.2">
      <c r="A15" s="11" t="s">
        <v>63</v>
      </c>
      <c r="B15" t="s">
        <v>40</v>
      </c>
      <c r="D15" s="53"/>
      <c r="E15" s="53"/>
      <c r="F15" s="53"/>
      <c r="G15" s="53"/>
      <c r="H15" s="53"/>
      <c r="I15" s="53"/>
    </row>
    <row r="16" spans="1:10" s="35" customFormat="1" x14ac:dyDescent="0.2">
      <c r="B16" s="7" t="s">
        <v>20</v>
      </c>
      <c r="C16" s="25"/>
      <c r="D16" s="52"/>
      <c r="E16" s="52"/>
      <c r="F16" s="52"/>
      <c r="G16" s="52"/>
      <c r="H16" s="52"/>
      <c r="I16" s="52"/>
      <c r="J16" s="37"/>
    </row>
    <row r="17" spans="1:10" s="35" customFormat="1" x14ac:dyDescent="0.2">
      <c r="A17" s="71"/>
      <c r="B17" s="7" t="s">
        <v>6</v>
      </c>
      <c r="C17" s="25"/>
      <c r="D17" s="52">
        <f>SUM((115000*1.03/12*9)+(115000*1.03*1.03/12*3))*5%</f>
        <v>5966.9187500000007</v>
      </c>
      <c r="E17" s="34">
        <f>SUM(D17*1.03)</f>
        <v>6145.9263125000007</v>
      </c>
      <c r="F17" s="34">
        <f>SUM(E17*1.03)</f>
        <v>6330.3041018750009</v>
      </c>
      <c r="G17" s="34">
        <f>SUM(F17*1.03)</f>
        <v>6520.2132249312508</v>
      </c>
      <c r="H17" s="34">
        <f>SUM(G17*1.03)</f>
        <v>6715.8196216791885</v>
      </c>
      <c r="I17" s="54">
        <f>SUM(D17:H17)</f>
        <v>31679.182010985442</v>
      </c>
      <c r="J17" s="37"/>
    </row>
    <row r="18" spans="1:10" s="35" customFormat="1" x14ac:dyDescent="0.2">
      <c r="A18" s="71"/>
      <c r="B18" s="62" t="s">
        <v>73</v>
      </c>
      <c r="C18" s="25"/>
      <c r="D18" s="52"/>
      <c r="E18" s="52"/>
      <c r="F18" s="52"/>
      <c r="G18" s="52"/>
      <c r="H18" s="52"/>
      <c r="I18" s="52"/>
      <c r="J18" s="37"/>
    </row>
    <row r="19" spans="1:10" s="35" customFormat="1" x14ac:dyDescent="0.2">
      <c r="A19" s="71"/>
      <c r="B19" s="7"/>
      <c r="C19" s="25"/>
      <c r="D19" s="52"/>
      <c r="E19" s="52"/>
      <c r="F19" s="52"/>
      <c r="G19" s="52"/>
      <c r="H19" s="52"/>
      <c r="I19" s="52"/>
      <c r="J19" s="37"/>
    </row>
    <row r="20" spans="1:10" s="35" customFormat="1" x14ac:dyDescent="0.2">
      <c r="A20" s="71"/>
      <c r="B20" s="7" t="s">
        <v>21</v>
      </c>
      <c r="C20" s="25"/>
      <c r="D20" s="52"/>
      <c r="E20" s="52"/>
      <c r="F20" s="52"/>
      <c r="G20" s="52"/>
      <c r="H20" s="52"/>
      <c r="I20" s="52"/>
      <c r="J20" s="37"/>
    </row>
    <row r="21" spans="1:10" s="35" customFormat="1" ht="25.5" x14ac:dyDescent="0.2">
      <c r="A21" s="71" t="s">
        <v>64</v>
      </c>
      <c r="B21" s="7" t="s">
        <v>22</v>
      </c>
      <c r="C21" s="25"/>
      <c r="D21" s="52"/>
      <c r="E21" s="52"/>
      <c r="F21" s="52"/>
      <c r="G21" s="52"/>
      <c r="H21" s="52"/>
      <c r="I21" s="52"/>
      <c r="J21" s="37"/>
    </row>
    <row r="22" spans="1:10" s="35" customFormat="1" x14ac:dyDescent="0.2">
      <c r="A22" s="71"/>
      <c r="B22" s="7" t="s">
        <v>23</v>
      </c>
      <c r="C22" s="25"/>
      <c r="D22" s="52">
        <f>SUM((65000/12*9)+(65000*1.03/12*3))*50%</f>
        <v>32743.75</v>
      </c>
      <c r="E22" s="34">
        <f>SUM(D22*1.03)</f>
        <v>33726.0625</v>
      </c>
      <c r="F22" s="34">
        <f>SUM(E22*1.03)</f>
        <v>34737.844375000001</v>
      </c>
      <c r="G22" s="34">
        <f>SUM(F22*1.03)</f>
        <v>35779.97970625</v>
      </c>
      <c r="H22" s="34">
        <f>SUM(G22*1.03)</f>
        <v>36853.379097437501</v>
      </c>
      <c r="I22" s="54">
        <f>SUM(D22:H22)</f>
        <v>173841.01567868749</v>
      </c>
      <c r="J22" s="37"/>
    </row>
    <row r="23" spans="1:10" s="35" customFormat="1" x14ac:dyDescent="0.2">
      <c r="A23" s="71"/>
      <c r="B23" s="75" t="s">
        <v>88</v>
      </c>
      <c r="C23" s="25"/>
      <c r="D23" s="52"/>
      <c r="E23" s="52"/>
      <c r="F23" s="52"/>
      <c r="G23" s="52"/>
      <c r="H23" s="52"/>
      <c r="I23" s="52"/>
      <c r="J23" s="37"/>
    </row>
    <row r="24" spans="1:10" s="35" customFormat="1" x14ac:dyDescent="0.2">
      <c r="A24" s="71"/>
      <c r="B24" s="7"/>
      <c r="C24" s="25"/>
      <c r="D24" s="55"/>
      <c r="E24" s="55"/>
      <c r="F24" s="55"/>
      <c r="G24" s="55"/>
      <c r="H24" s="55"/>
      <c r="I24" s="55"/>
      <c r="J24" s="37"/>
    </row>
    <row r="25" spans="1:10" s="35" customFormat="1" x14ac:dyDescent="0.2">
      <c r="A25" s="71"/>
      <c r="B25" s="1" t="s">
        <v>7</v>
      </c>
      <c r="C25" s="25"/>
      <c r="D25" s="52">
        <f t="shared" ref="D25:I25" si="0">SUM(D7:D24)</f>
        <v>61626.918749999997</v>
      </c>
      <c r="E25" s="52">
        <f t="shared" si="0"/>
        <v>62788.2388125</v>
      </c>
      <c r="F25" s="52">
        <f t="shared" si="0"/>
        <v>63984.398476875002</v>
      </c>
      <c r="G25" s="52">
        <f t="shared" si="0"/>
        <v>65216.442931181249</v>
      </c>
      <c r="H25" s="52">
        <f t="shared" si="0"/>
        <v>66485.448719116685</v>
      </c>
      <c r="I25" s="52">
        <f t="shared" si="0"/>
        <v>320101.44768967293</v>
      </c>
      <c r="J25" s="37"/>
    </row>
    <row r="26" spans="1:10" s="35" customFormat="1" x14ac:dyDescent="0.2">
      <c r="A26" s="71"/>
      <c r="B26" s="7"/>
      <c r="C26" s="25"/>
      <c r="D26" s="52"/>
      <c r="E26" s="52"/>
      <c r="F26" s="52"/>
      <c r="G26" s="52"/>
      <c r="H26" s="52"/>
      <c r="I26" s="52"/>
      <c r="J26" s="37"/>
    </row>
    <row r="27" spans="1:10" x14ac:dyDescent="0.2">
      <c r="A27" s="11" t="s">
        <v>65</v>
      </c>
      <c r="B27" s="1" t="s">
        <v>17</v>
      </c>
      <c r="D27" s="2"/>
      <c r="E27" s="2"/>
      <c r="F27" s="2"/>
      <c r="G27" s="2"/>
      <c r="H27" s="2"/>
      <c r="I27" s="53"/>
    </row>
    <row r="28" spans="1:10" x14ac:dyDescent="0.2">
      <c r="B28" s="75" t="s">
        <v>89</v>
      </c>
      <c r="C28" s="24">
        <v>0.34300000000000003</v>
      </c>
      <c r="D28" s="2">
        <f>SUM(D25-D22)*C28</f>
        <v>9906.9268812499995</v>
      </c>
      <c r="E28" s="2">
        <f>(E25-E22)*C28</f>
        <v>9968.3264751875013</v>
      </c>
      <c r="F28" s="2">
        <f>(F25-F22)*C28</f>
        <v>10031.568056943126</v>
      </c>
      <c r="G28" s="2">
        <f>(G25-G22)*C28</f>
        <v>10096.70688615142</v>
      </c>
      <c r="H28" s="2">
        <f>(H25-H22)*C28</f>
        <v>10163.799880235962</v>
      </c>
      <c r="I28" s="53">
        <f>SUM(D28:H28)</f>
        <v>50167.32817976801</v>
      </c>
    </row>
    <row r="29" spans="1:10" x14ac:dyDescent="0.2">
      <c r="B29" s="75" t="s">
        <v>89</v>
      </c>
      <c r="C29" s="24">
        <v>0.245</v>
      </c>
      <c r="D29" s="2">
        <f>D22*C29</f>
        <v>8022.21875</v>
      </c>
      <c r="E29" s="2">
        <f>E22*C29</f>
        <v>8262.8853125000005</v>
      </c>
      <c r="F29" s="2">
        <f>F22*C29</f>
        <v>8510.7718718750002</v>
      </c>
      <c r="G29" s="2">
        <f>G22*C29</f>
        <v>8766.09502803125</v>
      </c>
      <c r="H29" s="2">
        <f>H22*C29</f>
        <v>9029.0778788721873</v>
      </c>
      <c r="I29" s="53">
        <f>SUM(D29:H29)</f>
        <v>42591.04884127844</v>
      </c>
    </row>
    <row r="30" spans="1:10" x14ac:dyDescent="0.2">
      <c r="A30" s="72"/>
      <c r="B30" s="1" t="s">
        <v>41</v>
      </c>
      <c r="C30" s="24"/>
      <c r="D30" s="4">
        <f t="shared" ref="D30:I30" si="1">SUM(D27:D29)</f>
        <v>17929.145631250001</v>
      </c>
      <c r="E30" s="4">
        <f t="shared" si="1"/>
        <v>18231.211787687502</v>
      </c>
      <c r="F30" s="4">
        <f t="shared" si="1"/>
        <v>18542.339928818124</v>
      </c>
      <c r="G30" s="4">
        <f t="shared" si="1"/>
        <v>18862.80191418267</v>
      </c>
      <c r="H30" s="4">
        <f t="shared" si="1"/>
        <v>19192.877759108149</v>
      </c>
      <c r="I30" s="4">
        <f t="shared" si="1"/>
        <v>92758.377021046443</v>
      </c>
    </row>
    <row r="31" spans="1:10" x14ac:dyDescent="0.2">
      <c r="A31" s="72"/>
      <c r="C31" s="24"/>
      <c r="D31" s="2"/>
      <c r="E31" s="2"/>
      <c r="F31" s="2"/>
      <c r="G31" s="2"/>
      <c r="H31" s="2"/>
      <c r="I31" s="53"/>
    </row>
    <row r="32" spans="1:10" ht="25.5" x14ac:dyDescent="0.2">
      <c r="A32" s="11" t="s">
        <v>80</v>
      </c>
      <c r="B32" s="1" t="s">
        <v>9</v>
      </c>
      <c r="C32" s="24"/>
      <c r="D32" s="2"/>
      <c r="E32" s="2"/>
      <c r="F32" s="2"/>
      <c r="G32" s="2"/>
      <c r="H32" s="2"/>
      <c r="I32" s="53"/>
    </row>
    <row r="33" spans="1:10" x14ac:dyDescent="0.2">
      <c r="B33" s="1"/>
      <c r="C33" s="24"/>
      <c r="D33" s="2"/>
      <c r="E33" s="2"/>
      <c r="F33" s="2"/>
      <c r="G33" s="2"/>
      <c r="H33" s="2"/>
      <c r="I33" s="53"/>
    </row>
    <row r="34" spans="1:10" ht="25.5" x14ac:dyDescent="0.2">
      <c r="A34" s="11" t="s">
        <v>66</v>
      </c>
      <c r="B34" s="7" t="s">
        <v>24</v>
      </c>
      <c r="D34" s="52"/>
      <c r="E34" s="52"/>
      <c r="F34" s="52"/>
      <c r="G34" s="52"/>
      <c r="H34" s="52"/>
      <c r="I34" s="52"/>
    </row>
    <row r="35" spans="1:10" s="7" customFormat="1" x14ac:dyDescent="0.2">
      <c r="B35" s="7" t="s">
        <v>48</v>
      </c>
      <c r="C35" s="25"/>
      <c r="D35" s="54">
        <f>SUM((76000/12*10.5)+(80000*1.03/12*1.5))*50%</f>
        <v>38400</v>
      </c>
      <c r="E35" s="54">
        <f>SUM((80000/12*10.5)+(80000*1.03/12*1.5))*50%</f>
        <v>40150</v>
      </c>
      <c r="F35" s="54">
        <f>SUM(E35*1.04)</f>
        <v>41756</v>
      </c>
      <c r="G35" s="54">
        <f>SUM(F35*1.04)</f>
        <v>43426.239999999998</v>
      </c>
      <c r="H35" s="54">
        <f>SUM(G35*1.04)</f>
        <v>45163.289599999996</v>
      </c>
      <c r="I35" s="54">
        <f>SUM(D35:H35)</f>
        <v>208895.52959999998</v>
      </c>
      <c r="J35" s="14"/>
    </row>
    <row r="36" spans="1:10" s="7" customFormat="1" x14ac:dyDescent="0.2">
      <c r="B36" s="76" t="s">
        <v>81</v>
      </c>
      <c r="C36" s="25"/>
      <c r="D36" s="54"/>
      <c r="E36" s="54"/>
      <c r="F36" s="54"/>
      <c r="G36" s="54"/>
      <c r="H36" s="54"/>
      <c r="I36" s="54"/>
      <c r="J36" s="14"/>
    </row>
    <row r="37" spans="1:10" s="35" customFormat="1" x14ac:dyDescent="0.2">
      <c r="A37" s="71"/>
      <c r="B37" s="75" t="s">
        <v>82</v>
      </c>
      <c r="C37" s="25"/>
      <c r="D37" s="52"/>
      <c r="E37" s="52"/>
      <c r="F37" s="52"/>
      <c r="G37" s="52"/>
      <c r="H37" s="52"/>
      <c r="I37" s="52"/>
      <c r="J37" s="37"/>
    </row>
    <row r="38" spans="1:10" s="35" customFormat="1" x14ac:dyDescent="0.2">
      <c r="A38" s="71"/>
      <c r="B38" s="1" t="s">
        <v>42</v>
      </c>
      <c r="C38" s="25"/>
      <c r="D38" s="20">
        <f t="shared" ref="D38:I38" si="2">SUM(D34:D37)</f>
        <v>38400</v>
      </c>
      <c r="E38" s="20">
        <f t="shared" si="2"/>
        <v>40150</v>
      </c>
      <c r="F38" s="20">
        <f t="shared" si="2"/>
        <v>41756</v>
      </c>
      <c r="G38" s="20">
        <f t="shared" si="2"/>
        <v>43426.239999999998</v>
      </c>
      <c r="H38" s="20">
        <f t="shared" si="2"/>
        <v>45163.289599999996</v>
      </c>
      <c r="I38" s="20">
        <f t="shared" si="2"/>
        <v>208895.52959999998</v>
      </c>
      <c r="J38" s="37"/>
    </row>
    <row r="39" spans="1:10" s="35" customFormat="1" x14ac:dyDescent="0.2">
      <c r="A39" s="71"/>
      <c r="B39"/>
      <c r="C39" s="25"/>
      <c r="D39" s="2"/>
      <c r="E39" s="2"/>
      <c r="F39" s="2"/>
      <c r="G39" s="2"/>
      <c r="H39" s="2"/>
      <c r="I39" s="53"/>
      <c r="J39" s="37"/>
    </row>
    <row r="40" spans="1:10" s="35" customFormat="1" x14ac:dyDescent="0.2">
      <c r="A40" s="11"/>
      <c r="B40" s="7" t="s">
        <v>8</v>
      </c>
      <c r="C40" s="25"/>
      <c r="D40" s="20">
        <f t="shared" ref="D40:I40" si="3">D25+D30+D38</f>
        <v>117956.06438125001</v>
      </c>
      <c r="E40" s="20">
        <f t="shared" si="3"/>
        <v>121169.4506001875</v>
      </c>
      <c r="F40" s="20">
        <f t="shared" si="3"/>
        <v>124282.73840569312</v>
      </c>
      <c r="G40" s="20">
        <f t="shared" si="3"/>
        <v>127505.48484536391</v>
      </c>
      <c r="H40" s="20">
        <f t="shared" si="3"/>
        <v>130841.61607822482</v>
      </c>
      <c r="I40" s="20">
        <f t="shared" si="3"/>
        <v>621755.35431071941</v>
      </c>
      <c r="J40" s="37"/>
    </row>
    <row r="41" spans="1:10" x14ac:dyDescent="0.2">
      <c r="A41" s="71"/>
      <c r="B41" s="15"/>
      <c r="C41" s="24"/>
      <c r="D41" s="56"/>
      <c r="E41" s="56"/>
      <c r="F41" s="56"/>
      <c r="G41" s="56"/>
      <c r="H41" s="56"/>
      <c r="I41" s="53"/>
    </row>
    <row r="42" spans="1:10" s="7" customFormat="1" ht="25.5" x14ac:dyDescent="0.2">
      <c r="A42" s="11" t="s">
        <v>67</v>
      </c>
      <c r="B42" s="1" t="s">
        <v>12</v>
      </c>
      <c r="C42" s="24"/>
      <c r="D42" s="53"/>
      <c r="E42" s="53"/>
      <c r="F42" s="53"/>
      <c r="G42" s="53"/>
      <c r="H42" s="53"/>
      <c r="I42" s="53"/>
      <c r="J42" s="14"/>
    </row>
    <row r="43" spans="1:10" x14ac:dyDescent="0.2">
      <c r="B43" s="5" t="s">
        <v>10</v>
      </c>
      <c r="C43" s="24"/>
      <c r="D43" s="3">
        <v>1500</v>
      </c>
      <c r="E43" s="3">
        <v>1500</v>
      </c>
      <c r="F43" s="3">
        <v>1500</v>
      </c>
      <c r="G43" s="3">
        <v>1500</v>
      </c>
      <c r="H43" s="3">
        <v>1500</v>
      </c>
      <c r="I43" s="3">
        <f>SUM(D43:H43)</f>
        <v>7500</v>
      </c>
    </row>
    <row r="44" spans="1:10" x14ac:dyDescent="0.2">
      <c r="B44" s="5" t="s">
        <v>83</v>
      </c>
      <c r="C44" s="29"/>
      <c r="D44" s="3">
        <v>1000</v>
      </c>
      <c r="E44" s="3">
        <v>1000</v>
      </c>
      <c r="F44" s="3">
        <v>1000</v>
      </c>
      <c r="G44" s="3">
        <v>1000</v>
      </c>
      <c r="H44" s="3">
        <v>1000</v>
      </c>
      <c r="I44" s="3">
        <f>SUM(D44:H44)</f>
        <v>5000</v>
      </c>
    </row>
    <row r="45" spans="1:10" x14ac:dyDescent="0.2">
      <c r="B45" s="5"/>
      <c r="C45" s="29"/>
      <c r="D45" s="53"/>
      <c r="E45" s="53"/>
      <c r="F45" s="53"/>
      <c r="G45" s="53"/>
      <c r="H45" s="53"/>
      <c r="I45" s="53"/>
    </row>
    <row r="46" spans="1:10" x14ac:dyDescent="0.2">
      <c r="A46" s="11" t="s">
        <v>68</v>
      </c>
      <c r="B46" s="1" t="s">
        <v>11</v>
      </c>
      <c r="C46" s="29"/>
      <c r="D46" s="53">
        <v>4000</v>
      </c>
      <c r="E46" s="53">
        <v>4000</v>
      </c>
      <c r="F46" s="53">
        <v>4000</v>
      </c>
      <c r="G46" s="53">
        <v>4000</v>
      </c>
      <c r="H46" s="53">
        <v>4000</v>
      </c>
      <c r="I46" s="53">
        <f>SUM(D46:H46)</f>
        <v>20000</v>
      </c>
    </row>
    <row r="47" spans="1:10" x14ac:dyDescent="0.2">
      <c r="B47" s="5" t="s">
        <v>26</v>
      </c>
      <c r="D47" s="53"/>
      <c r="E47" s="53"/>
      <c r="F47" s="53"/>
      <c r="G47" s="53"/>
      <c r="H47" s="53"/>
      <c r="I47" s="53"/>
    </row>
    <row r="48" spans="1:10" x14ac:dyDescent="0.2">
      <c r="B48" s="57"/>
      <c r="D48" s="53"/>
      <c r="E48" s="53"/>
      <c r="F48" s="53"/>
      <c r="G48" s="53"/>
      <c r="H48" s="53"/>
      <c r="I48" s="53"/>
    </row>
    <row r="49" spans="1:10" x14ac:dyDescent="0.2">
      <c r="B49" s="1" t="s">
        <v>28</v>
      </c>
      <c r="D49" s="53"/>
      <c r="E49" s="53"/>
      <c r="F49" s="53"/>
      <c r="G49" s="53"/>
      <c r="H49" s="53"/>
      <c r="I49" s="53"/>
    </row>
    <row r="50" spans="1:10" ht="25.5" x14ac:dyDescent="0.2">
      <c r="A50" s="11" t="s">
        <v>69</v>
      </c>
      <c r="B50" s="57" t="s">
        <v>29</v>
      </c>
      <c r="D50" s="53">
        <v>25000</v>
      </c>
      <c r="E50" s="53"/>
      <c r="F50" s="53"/>
      <c r="G50" s="53"/>
      <c r="H50" s="53"/>
      <c r="I50" s="53">
        <f>SUM(D50:H50)</f>
        <v>25000</v>
      </c>
    </row>
    <row r="51" spans="1:10" ht="25.5" x14ac:dyDescent="0.2">
      <c r="A51" s="11" t="s">
        <v>69</v>
      </c>
      <c r="B51" s="57" t="s">
        <v>30</v>
      </c>
      <c r="D51" s="53">
        <v>75000</v>
      </c>
      <c r="E51" s="53">
        <v>100000</v>
      </c>
      <c r="F51" s="53">
        <v>100000</v>
      </c>
      <c r="G51" s="53">
        <v>100000</v>
      </c>
      <c r="H51" s="53">
        <v>100000</v>
      </c>
      <c r="I51" s="53">
        <f>SUM(D51:H51)</f>
        <v>475000</v>
      </c>
    </row>
    <row r="52" spans="1:10" x14ac:dyDescent="0.2">
      <c r="B52" s="57"/>
      <c r="D52" s="53"/>
      <c r="E52" s="53"/>
      <c r="F52" s="53"/>
      <c r="G52" s="53"/>
      <c r="H52" s="53"/>
      <c r="I52" s="53"/>
    </row>
    <row r="53" spans="1:10" x14ac:dyDescent="0.2">
      <c r="A53" s="11" t="s">
        <v>70</v>
      </c>
      <c r="B53" s="1" t="s">
        <v>27</v>
      </c>
      <c r="D53" s="69">
        <f>SUM((2309*6/12*10.5)+(2309*1.03*6/12*1.5))</f>
        <v>13905.952499999999</v>
      </c>
      <c r="E53" s="3">
        <f>D53*1.04</f>
        <v>14462.1906</v>
      </c>
      <c r="F53" s="54">
        <f>SUM(E53*1.04)</f>
        <v>15040.678224000001</v>
      </c>
      <c r="G53" s="54">
        <f>SUM(F53*1.04)</f>
        <v>15642.305352960002</v>
      </c>
      <c r="H53" s="54">
        <f>SUM(G53*1.04)</f>
        <v>16267.997567078402</v>
      </c>
      <c r="I53" s="54">
        <f>SUM(D53:H53)</f>
        <v>75319.124244038409</v>
      </c>
    </row>
    <row r="54" spans="1:10" x14ac:dyDescent="0.2">
      <c r="B54" s="65" t="s">
        <v>84</v>
      </c>
      <c r="D54" s="69"/>
      <c r="E54" s="3"/>
      <c r="F54" s="3"/>
      <c r="G54" s="3"/>
      <c r="H54" s="3"/>
      <c r="I54" s="3"/>
    </row>
    <row r="55" spans="1:10" x14ac:dyDescent="0.2">
      <c r="B55" s="57"/>
      <c r="D55" s="53"/>
      <c r="E55" s="53"/>
      <c r="F55" s="53"/>
      <c r="G55" s="53"/>
      <c r="H55" s="53"/>
      <c r="I55" s="53"/>
    </row>
    <row r="56" spans="1:10" x14ac:dyDescent="0.2">
      <c r="A56" s="11" t="s">
        <v>71</v>
      </c>
      <c r="B56" s="1" t="s">
        <v>32</v>
      </c>
      <c r="C56" s="29"/>
      <c r="D56" s="2">
        <v>20000</v>
      </c>
      <c r="E56" s="2"/>
      <c r="F56" s="2">
        <v>25000</v>
      </c>
      <c r="G56" s="2"/>
      <c r="H56" s="2"/>
      <c r="I56" s="54">
        <f>SUM(D56:H56)</f>
        <v>45000</v>
      </c>
    </row>
    <row r="57" spans="1:10" x14ac:dyDescent="0.2">
      <c r="B57" s="7" t="s">
        <v>43</v>
      </c>
      <c r="C57" s="29"/>
      <c r="D57" s="2"/>
      <c r="E57" s="2"/>
      <c r="F57" s="2"/>
      <c r="G57" s="2"/>
      <c r="H57" s="2"/>
      <c r="I57" s="54"/>
    </row>
    <row r="58" spans="1:10" x14ac:dyDescent="0.2">
      <c r="B58" s="7"/>
      <c r="C58" s="29"/>
      <c r="D58" s="2"/>
      <c r="E58" s="2"/>
      <c r="F58" s="2"/>
      <c r="G58" s="2"/>
      <c r="H58" s="2"/>
      <c r="I58" s="2"/>
    </row>
    <row r="59" spans="1:10" x14ac:dyDescent="0.2">
      <c r="B59" t="s">
        <v>4</v>
      </c>
      <c r="D59" s="58">
        <f t="shared" ref="D59:I59" si="4">SUM(D40:D56)</f>
        <v>258362.01688125002</v>
      </c>
      <c r="E59" s="58">
        <f t="shared" si="4"/>
        <v>242131.6412001875</v>
      </c>
      <c r="F59" s="58">
        <f t="shared" si="4"/>
        <v>270823.41662969312</v>
      </c>
      <c r="G59" s="58">
        <f t="shared" si="4"/>
        <v>249647.79019832393</v>
      </c>
      <c r="H59" s="58">
        <f t="shared" si="4"/>
        <v>253609.61364530321</v>
      </c>
      <c r="I59" s="58">
        <f t="shared" si="4"/>
        <v>1274574.4785547578</v>
      </c>
      <c r="J59"/>
    </row>
    <row r="60" spans="1:10" x14ac:dyDescent="0.2">
      <c r="D60" s="53"/>
      <c r="E60" s="53"/>
      <c r="F60" s="53"/>
      <c r="G60" s="53"/>
      <c r="H60" s="53"/>
      <c r="I60" s="53"/>
      <c r="J60"/>
    </row>
    <row r="61" spans="1:10" ht="25.5" x14ac:dyDescent="0.2">
      <c r="A61" s="11" t="s">
        <v>72</v>
      </c>
      <c r="B61" t="s">
        <v>31</v>
      </c>
      <c r="D61" s="53"/>
      <c r="E61" s="53"/>
      <c r="F61" s="53"/>
      <c r="G61" s="53"/>
      <c r="H61" s="53"/>
      <c r="I61" s="53"/>
      <c r="J61"/>
    </row>
    <row r="62" spans="1:10" s="17" customFormat="1" x14ac:dyDescent="0.2">
      <c r="B62" s="68" t="s">
        <v>54</v>
      </c>
      <c r="C62" s="28"/>
      <c r="D62" s="19">
        <f>SUM(D59-D56-D53-D51)</f>
        <v>149456.06438125001</v>
      </c>
      <c r="E62" s="19">
        <f>SUM(E59-E53-E51-E56)</f>
        <v>127669.4506001875</v>
      </c>
      <c r="F62" s="19">
        <f>SUM(F59-F53-F51-F56)</f>
        <v>130782.73840569312</v>
      </c>
      <c r="G62" s="19">
        <f>SUM(G59-G53-G51-G56)</f>
        <v>134005.48484536391</v>
      </c>
      <c r="H62" s="19">
        <f>SUM(H59-H53-H51-H56)</f>
        <v>137341.61607822482</v>
      </c>
      <c r="I62" s="19">
        <f>SUM(D62:H62)</f>
        <v>679255.3543107193</v>
      </c>
      <c r="J62" s="18"/>
    </row>
    <row r="63" spans="1:10" s="17" customFormat="1" x14ac:dyDescent="0.2">
      <c r="B63" s="59" t="s">
        <v>38</v>
      </c>
      <c r="C63" s="60"/>
      <c r="D63" s="61">
        <f t="shared" ref="D63:I63" si="5">SUM(D62:D62)</f>
        <v>149456.06438125001</v>
      </c>
      <c r="E63" s="61">
        <f t="shared" si="5"/>
        <v>127669.4506001875</v>
      </c>
      <c r="F63" s="61">
        <f t="shared" si="5"/>
        <v>130782.73840569312</v>
      </c>
      <c r="G63" s="61">
        <f t="shared" si="5"/>
        <v>134005.48484536391</v>
      </c>
      <c r="H63" s="61">
        <f t="shared" si="5"/>
        <v>137341.61607822482</v>
      </c>
      <c r="I63" s="61">
        <f t="shared" si="5"/>
        <v>679255.3543107193</v>
      </c>
      <c r="J63" s="18"/>
    </row>
    <row r="64" spans="1:10" x14ac:dyDescent="0.2">
      <c r="D64" s="53"/>
      <c r="E64" s="53"/>
      <c r="F64" s="53"/>
      <c r="G64" s="53"/>
      <c r="H64" s="53"/>
      <c r="I64" s="53"/>
    </row>
    <row r="65" spans="1:10" x14ac:dyDescent="0.2">
      <c r="B65" s="1" t="s">
        <v>52</v>
      </c>
      <c r="C65" s="24"/>
      <c r="D65" s="2"/>
      <c r="E65" s="2"/>
      <c r="F65" s="2"/>
      <c r="G65" s="2"/>
      <c r="H65" s="2"/>
      <c r="I65" s="2"/>
    </row>
    <row r="66" spans="1:10" x14ac:dyDescent="0.2">
      <c r="B66" s="68" t="s">
        <v>53</v>
      </c>
      <c r="C66" s="16">
        <v>0.65</v>
      </c>
      <c r="D66" s="2">
        <f>D62*C66</f>
        <v>97146.441847812501</v>
      </c>
      <c r="E66" s="2">
        <f>E62*C66</f>
        <v>82985.142890121875</v>
      </c>
      <c r="F66" s="2">
        <f>F62*C66</f>
        <v>85008.779963700523</v>
      </c>
      <c r="G66" s="2">
        <f>G62*C66</f>
        <v>87103.565149486545</v>
      </c>
      <c r="H66" s="2">
        <f>H62*C66</f>
        <v>89272.050450846131</v>
      </c>
      <c r="I66" s="2">
        <f>SUM(D66:H66)</f>
        <v>441515.98030196759</v>
      </c>
    </row>
    <row r="67" spans="1:10" x14ac:dyDescent="0.2">
      <c r="B67" t="s">
        <v>59</v>
      </c>
      <c r="D67" s="4">
        <f t="shared" ref="D67:I67" si="6">SUM(D65:D66)</f>
        <v>97146.441847812501</v>
      </c>
      <c r="E67" s="4">
        <f t="shared" si="6"/>
        <v>82985.142890121875</v>
      </c>
      <c r="F67" s="4">
        <f t="shared" si="6"/>
        <v>85008.779963700523</v>
      </c>
      <c r="G67" s="4">
        <f t="shared" si="6"/>
        <v>87103.565149486545</v>
      </c>
      <c r="H67" s="4">
        <f t="shared" si="6"/>
        <v>89272.050450846131</v>
      </c>
      <c r="I67" s="4">
        <f t="shared" si="6"/>
        <v>441515.98030196759</v>
      </c>
    </row>
    <row r="68" spans="1:10" x14ac:dyDescent="0.2">
      <c r="D68" s="2"/>
      <c r="E68" s="2"/>
      <c r="F68" s="2"/>
      <c r="G68" s="2"/>
      <c r="H68" s="2"/>
      <c r="I68" s="2"/>
    </row>
    <row r="69" spans="1:10" ht="13.5" thickBot="1" x14ac:dyDescent="0.25">
      <c r="B69" s="1" t="s">
        <v>37</v>
      </c>
      <c r="C69" s="24"/>
      <c r="D69" s="6">
        <f>D67+D59</f>
        <v>355508.45872906252</v>
      </c>
      <c r="E69" s="6">
        <f>E67+E59</f>
        <v>325116.7840903094</v>
      </c>
      <c r="F69" s="6">
        <f>F67+F59</f>
        <v>355832.19659339363</v>
      </c>
      <c r="G69" s="6">
        <f>G67+G59</f>
        <v>336751.35534781049</v>
      </c>
      <c r="H69" s="6">
        <f>H67+H59</f>
        <v>342881.66409614932</v>
      </c>
      <c r="I69" s="6">
        <f>SUM(D69:H69)</f>
        <v>1716090.4588567254</v>
      </c>
    </row>
    <row r="70" spans="1:10" ht="13.5" thickTop="1" x14ac:dyDescent="0.2">
      <c r="B70" s="1"/>
      <c r="C70" s="24"/>
      <c r="D70" s="39"/>
      <c r="E70" s="39"/>
      <c r="F70" s="39"/>
      <c r="G70" s="39"/>
      <c r="H70" s="39"/>
      <c r="I70" s="39"/>
    </row>
    <row r="71" spans="1:10" ht="13.5" thickBot="1" x14ac:dyDescent="0.25">
      <c r="B71" s="1"/>
      <c r="C71" s="24"/>
      <c r="D71" s="39"/>
      <c r="E71" s="39"/>
      <c r="F71" s="39"/>
      <c r="G71" s="39"/>
      <c r="H71" s="39"/>
      <c r="I71" s="39"/>
    </row>
    <row r="72" spans="1:10" x14ac:dyDescent="0.2">
      <c r="A72" s="73"/>
      <c r="B72" s="40" t="s">
        <v>33</v>
      </c>
      <c r="C72" s="41"/>
      <c r="D72" s="42"/>
      <c r="E72" s="42"/>
      <c r="F72" s="42"/>
      <c r="G72" s="42"/>
      <c r="H72" s="42"/>
      <c r="I72" s="43"/>
      <c r="J72" s="13"/>
    </row>
    <row r="73" spans="1:10" x14ac:dyDescent="0.2">
      <c r="A73" s="73"/>
      <c r="B73" s="44" t="s">
        <v>18</v>
      </c>
      <c r="C73" s="27"/>
      <c r="D73" s="22"/>
      <c r="E73" s="13"/>
      <c r="F73" s="13"/>
      <c r="G73" s="13"/>
      <c r="H73" s="13"/>
      <c r="I73" s="45"/>
      <c r="J73" s="13"/>
    </row>
    <row r="74" spans="1:10" x14ac:dyDescent="0.2">
      <c r="B74" s="44" t="s">
        <v>19</v>
      </c>
      <c r="C74" s="27"/>
      <c r="D74" s="54">
        <f>SUM((160000*1.03/9*7.5)+(160000*1.03*1.03/9*1.5))*15%</f>
        <v>24843.599999999995</v>
      </c>
      <c r="E74" s="13">
        <f>SUM(D74*1.03)</f>
        <v>25588.907999999996</v>
      </c>
      <c r="F74" s="13">
        <f>SUM(E74*1.03)</f>
        <v>26356.575239999995</v>
      </c>
      <c r="G74" s="13">
        <f>SUM(F74*1.03)</f>
        <v>27147.272497199996</v>
      </c>
      <c r="H74" s="13">
        <f>SUM(G74*1.03)</f>
        <v>27961.690672115998</v>
      </c>
      <c r="I74" s="45">
        <f>SUM(D74:H74)</f>
        <v>131898.04640931598</v>
      </c>
      <c r="J74" s="13"/>
    </row>
    <row r="75" spans="1:10" x14ac:dyDescent="0.2">
      <c r="B75" s="66" t="s">
        <v>74</v>
      </c>
      <c r="C75" s="46"/>
      <c r="D75" s="13"/>
      <c r="E75" s="13"/>
      <c r="F75" s="13"/>
      <c r="G75" s="13"/>
      <c r="H75" s="13"/>
      <c r="I75" s="45"/>
      <c r="J75" s="13"/>
    </row>
    <row r="76" spans="1:10" x14ac:dyDescent="0.2">
      <c r="B76" s="44"/>
      <c r="C76" s="46"/>
      <c r="D76" s="13"/>
      <c r="E76" s="13"/>
      <c r="F76" s="13"/>
      <c r="G76" s="13"/>
      <c r="H76" s="13"/>
      <c r="I76" s="45"/>
      <c r="J76" s="13"/>
    </row>
    <row r="77" spans="1:10" x14ac:dyDescent="0.2">
      <c r="B77" s="44" t="s">
        <v>34</v>
      </c>
      <c r="C77" s="46"/>
      <c r="D77" s="13">
        <f>D74-D12</f>
        <v>1927.3499999999949</v>
      </c>
      <c r="E77" s="13">
        <f>E74-E12</f>
        <v>2672.6579999999958</v>
      </c>
      <c r="F77" s="13">
        <f>F74-F12</f>
        <v>3440.3252399999947</v>
      </c>
      <c r="G77" s="13">
        <f>G74-G12</f>
        <v>4231.022497199996</v>
      </c>
      <c r="H77" s="13">
        <f>H74-H12</f>
        <v>5045.4406721159976</v>
      </c>
      <c r="I77" s="45">
        <f>SUM(D77:H77)</f>
        <v>17316.796409315979</v>
      </c>
      <c r="J77" s="13"/>
    </row>
    <row r="78" spans="1:10" x14ac:dyDescent="0.2">
      <c r="B78" s="44" t="s">
        <v>35</v>
      </c>
      <c r="C78" s="46"/>
      <c r="D78" s="38">
        <f>D77*C28</f>
        <v>661.0810499999983</v>
      </c>
      <c r="E78" s="38">
        <f>E77*C28</f>
        <v>916.72169399999859</v>
      </c>
      <c r="F78" s="38">
        <f>F77*C28</f>
        <v>1180.0315573199982</v>
      </c>
      <c r="G78" s="38">
        <f>G77*C28</f>
        <v>1451.2407165395987</v>
      </c>
      <c r="H78" s="38">
        <f>H77*C28</f>
        <v>1730.5861505357873</v>
      </c>
      <c r="I78" s="47">
        <f>SUM(D78:H78)</f>
        <v>5939.6611683953806</v>
      </c>
      <c r="J78" s="13"/>
    </row>
    <row r="79" spans="1:10" x14ac:dyDescent="0.2">
      <c r="B79" s="44" t="s">
        <v>36</v>
      </c>
      <c r="C79" s="46"/>
      <c r="D79" s="13">
        <f t="shared" ref="D79:I79" si="7">D78+D77</f>
        <v>2588.4310499999933</v>
      </c>
      <c r="E79" s="13">
        <f t="shared" si="7"/>
        <v>3589.3796939999943</v>
      </c>
      <c r="F79" s="13">
        <f t="shared" si="7"/>
        <v>4620.3567973199933</v>
      </c>
      <c r="G79" s="13">
        <f t="shared" si="7"/>
        <v>5682.2632137395949</v>
      </c>
      <c r="H79" s="13">
        <f t="shared" si="7"/>
        <v>6776.0268226517846</v>
      </c>
      <c r="I79" s="45">
        <f t="shared" si="7"/>
        <v>23256.45757771136</v>
      </c>
      <c r="J79" s="13"/>
    </row>
    <row r="80" spans="1:10" ht="13.5" thickBot="1" x14ac:dyDescent="0.25">
      <c r="B80" s="48"/>
      <c r="C80" s="49"/>
      <c r="D80" s="50"/>
      <c r="E80" s="50"/>
      <c r="F80" s="50"/>
      <c r="G80" s="50"/>
      <c r="H80" s="50"/>
      <c r="I80" s="51"/>
    </row>
    <row r="81" spans="2:9" x14ac:dyDescent="0.2">
      <c r="B81" s="1"/>
      <c r="C81" s="24"/>
      <c r="D81" s="39"/>
      <c r="E81" s="39"/>
      <c r="F81" s="39"/>
      <c r="G81" s="39"/>
      <c r="H81" s="39"/>
      <c r="I81" s="39"/>
    </row>
    <row r="82" spans="2:9" x14ac:dyDescent="0.2">
      <c r="D82" s="3"/>
      <c r="E82" s="3"/>
      <c r="F82" s="3"/>
      <c r="G82" s="3"/>
      <c r="H82" s="3"/>
      <c r="I82" s="3"/>
    </row>
    <row r="83" spans="2:9" x14ac:dyDescent="0.2">
      <c r="B83" t="s">
        <v>13</v>
      </c>
    </row>
    <row r="84" spans="2:9" x14ac:dyDescent="0.2">
      <c r="B84" s="62" t="s">
        <v>75</v>
      </c>
    </row>
    <row r="85" spans="2:9" x14ac:dyDescent="0.2">
      <c r="B85" s="62" t="s">
        <v>76</v>
      </c>
    </row>
    <row r="86" spans="2:9" x14ac:dyDescent="0.2">
      <c r="B86" s="75" t="s">
        <v>85</v>
      </c>
    </row>
    <row r="87" spans="2:9" x14ac:dyDescent="0.2">
      <c r="B87" s="75" t="s">
        <v>86</v>
      </c>
    </row>
    <row r="88" spans="2:9" x14ac:dyDescent="0.2">
      <c r="B88" s="75" t="s">
        <v>87</v>
      </c>
    </row>
    <row r="90" spans="2:9" x14ac:dyDescent="0.2">
      <c r="B90" s="75" t="s">
        <v>90</v>
      </c>
    </row>
    <row r="91" spans="2:9" x14ac:dyDescent="0.2">
      <c r="B91" s="75" t="s">
        <v>55</v>
      </c>
    </row>
    <row r="93" spans="2:9" x14ac:dyDescent="0.2">
      <c r="B93" t="s">
        <v>14</v>
      </c>
    </row>
    <row r="94" spans="2:9" x14ac:dyDescent="0.2">
      <c r="B94" s="75" t="s">
        <v>91</v>
      </c>
      <c r="C94" s="25">
        <v>0.34300000000000003</v>
      </c>
      <c r="D94" s="75" t="s">
        <v>45</v>
      </c>
    </row>
    <row r="95" spans="2:9" x14ac:dyDescent="0.2">
      <c r="B95" s="75" t="s">
        <v>92</v>
      </c>
      <c r="C95" s="25">
        <v>0.34300000000000003</v>
      </c>
      <c r="D95" s="76" t="s">
        <v>44</v>
      </c>
    </row>
    <row r="96" spans="2:9" x14ac:dyDescent="0.2">
      <c r="B96" s="75" t="s">
        <v>91</v>
      </c>
      <c r="C96" s="25">
        <v>0.245</v>
      </c>
      <c r="D96" s="75" t="s">
        <v>56</v>
      </c>
    </row>
    <row r="97" spans="2:4" x14ac:dyDescent="0.2">
      <c r="B97" s="75" t="s">
        <v>92</v>
      </c>
      <c r="C97" s="25">
        <v>0.245</v>
      </c>
      <c r="D97" s="76" t="s">
        <v>57</v>
      </c>
    </row>
    <row r="98" spans="2:4" x14ac:dyDescent="0.2">
      <c r="B98" s="75"/>
      <c r="D98" s="76"/>
    </row>
    <row r="99" spans="2:4" x14ac:dyDescent="0.2">
      <c r="B99" t="s">
        <v>58</v>
      </c>
      <c r="D99" s="76"/>
    </row>
    <row r="100" spans="2:4" x14ac:dyDescent="0.2">
      <c r="B100" s="67" t="s">
        <v>46</v>
      </c>
      <c r="C100" s="25">
        <v>0.65</v>
      </c>
      <c r="D100" t="s">
        <v>15</v>
      </c>
    </row>
    <row r="101" spans="2:4" x14ac:dyDescent="0.2">
      <c r="B101" s="67" t="s">
        <v>47</v>
      </c>
      <c r="C101" s="25">
        <v>0.65</v>
      </c>
      <c r="D101" s="76" t="s">
        <v>16</v>
      </c>
    </row>
  </sheetData>
  <phoneticPr fontId="0" type="noConversion"/>
  <pageMargins left="0.5" right="0.5" top="0.5" bottom="0.5" header="0.32" footer="0.17"/>
  <pageSetup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NIH Cap</vt:lpstr>
      <vt:lpstr>'NIH Cap'!Print_Titles</vt:lpstr>
    </vt:vector>
  </TitlesOfParts>
  <Company>USC EFO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Page 1</dc:title>
  <dc:creator>slf</dc:creator>
  <cp:lastModifiedBy>Nichole Phillips</cp:lastModifiedBy>
  <cp:lastPrinted>2008-11-06T22:42:34Z</cp:lastPrinted>
  <dcterms:created xsi:type="dcterms:W3CDTF">2001-01-26T23:48:01Z</dcterms:created>
  <dcterms:modified xsi:type="dcterms:W3CDTF">2022-07-01T20:02:43Z</dcterms:modified>
</cp:coreProperties>
</file>