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BA\Fin\Research Administration\Website\Budget Samples\"/>
    </mc:Choice>
  </mc:AlternateContent>
  <xr:revisionPtr revIDLastSave="0" documentId="13_ncr:40009_{24239E77-FAB3-4756-A32B-F31A32267AC9}" xr6:coauthVersionLast="36" xr6:coauthVersionMax="36" xr10:uidLastSave="{00000000-0000-0000-0000-000000000000}"/>
  <bookViews>
    <workbookView xWindow="32760" yWindow="32760" windowWidth="19365" windowHeight="14325"/>
  </bookViews>
  <sheets>
    <sheet name="Master" sheetId="2" r:id="rId1"/>
  </sheets>
  <definedNames>
    <definedName name="_xlnm.Print_Titles" localSheetId="0">Master!$1:$7</definedName>
  </definedNames>
  <calcPr calcId="191029" fullCalcOnLoad="1"/>
</workbook>
</file>

<file path=xl/calcChain.xml><?xml version="1.0" encoding="utf-8"?>
<calcChain xmlns="http://schemas.openxmlformats.org/spreadsheetml/2006/main">
  <c r="D50" i="2" l="1"/>
  <c r="D71" i="2"/>
  <c r="E32" i="2"/>
  <c r="D32" i="2"/>
  <c r="E28" i="2"/>
  <c r="D28" i="2"/>
  <c r="D17" i="2"/>
  <c r="D12" i="2"/>
  <c r="E12" i="2"/>
  <c r="F12" i="2"/>
  <c r="E17" i="2"/>
  <c r="F32" i="2"/>
  <c r="D48" i="2"/>
  <c r="E48" i="2"/>
  <c r="E35" i="2"/>
  <c r="F35" i="2"/>
  <c r="F28" i="2"/>
  <c r="F46" i="2"/>
  <c r="F47" i="2"/>
  <c r="F41" i="2"/>
  <c r="F43" i="2"/>
  <c r="F53" i="2"/>
  <c r="E71" i="2"/>
  <c r="E74" i="2"/>
  <c r="E75" i="2"/>
  <c r="E76" i="2" s="1"/>
  <c r="D20" i="2"/>
  <c r="D23" i="2"/>
  <c r="D38" i="2" s="1"/>
  <c r="D55" i="2" s="1"/>
  <c r="F48" i="2"/>
  <c r="F71" i="2"/>
  <c r="E50" i="2"/>
  <c r="F50" i="2"/>
  <c r="D74" i="2"/>
  <c r="D75" i="2"/>
  <c r="F17" i="2"/>
  <c r="F20" i="2"/>
  <c r="E20" i="2"/>
  <c r="F74" i="2"/>
  <c r="D76" i="2"/>
  <c r="F75" i="2"/>
  <c r="F76" i="2" s="1"/>
  <c r="E23" i="2"/>
  <c r="E38" i="2" s="1"/>
  <c r="E55" i="2" s="1"/>
  <c r="D57" i="2" l="1"/>
  <c r="D60" i="2"/>
  <c r="E57" i="2"/>
  <c r="E60" i="2"/>
  <c r="F23" i="2"/>
  <c r="F38" i="2" s="1"/>
  <c r="F55" i="2" s="1"/>
  <c r="F57" i="2" s="1"/>
  <c r="E61" i="2" l="1"/>
  <c r="E64" i="2"/>
  <c r="E65" i="2" s="1"/>
  <c r="E67" i="2" s="1"/>
  <c r="F60" i="2"/>
  <c r="F61" i="2" s="1"/>
  <c r="D61" i="2"/>
  <c r="D64" i="2"/>
  <c r="F64" i="2" l="1"/>
  <c r="F65" i="2" s="1"/>
  <c r="F67" i="2" s="1"/>
  <c r="D65" i="2"/>
  <c r="D67" i="2" s="1"/>
</calcChain>
</file>

<file path=xl/sharedStrings.xml><?xml version="1.0" encoding="utf-8"?>
<sst xmlns="http://schemas.openxmlformats.org/spreadsheetml/2006/main" count="90" uniqueCount="83">
  <si>
    <t>For USC Internal Use Only</t>
  </si>
  <si>
    <t>Rates</t>
  </si>
  <si>
    <t>Principal Investigator</t>
  </si>
  <si>
    <t>Total</t>
  </si>
  <si>
    <t>Total Direct Costs</t>
  </si>
  <si>
    <t>SALARIES</t>
  </si>
  <si>
    <t>TOTAL SALARIES</t>
  </si>
  <si>
    <t>Total Compensation</t>
  </si>
  <si>
    <t>WAGES NOT SUBJECT TO FB</t>
  </si>
  <si>
    <t>TRAVEL</t>
  </si>
  <si>
    <t>MATERIALS &amp; SUPPLIES</t>
  </si>
  <si>
    <t>Notes:</t>
  </si>
  <si>
    <t>Fringe Benefits</t>
  </si>
  <si>
    <t>Predetermined</t>
  </si>
  <si>
    <t>Provisional</t>
  </si>
  <si>
    <t>FRINGE BENEFITS</t>
  </si>
  <si>
    <t>Graduate Research Assistant</t>
  </si>
  <si>
    <t>TUITION REMISSION</t>
  </si>
  <si>
    <t>SUBAWARD</t>
  </si>
  <si>
    <t>F &amp; A Base (Total Direct Costs less equipment and tuition and only first $25,000 of Subaward)</t>
  </si>
  <si>
    <t>EQUIPMENT</t>
  </si>
  <si>
    <t>Cost Estimate:  National Institute of Health</t>
  </si>
  <si>
    <t>NIH Excess Compensation Calculator</t>
  </si>
  <si>
    <t>Fringe</t>
  </si>
  <si>
    <t>Total Excess</t>
  </si>
  <si>
    <t>TOTAL COST TO AGENCY</t>
  </si>
  <si>
    <t>Summer Excess</t>
  </si>
  <si>
    <t>Co-Principal Investigator</t>
  </si>
  <si>
    <t>Student Worker for Translation work</t>
  </si>
  <si>
    <t>100 hours at $20/hour</t>
  </si>
  <si>
    <t>Total NIH Direct Costs</t>
  </si>
  <si>
    <t>Rancho IDC</t>
  </si>
  <si>
    <t>Rancho Direct Costs</t>
  </si>
  <si>
    <t>PI:  Sally Trojan</t>
  </si>
  <si>
    <t>Sally Trojan</t>
  </si>
  <si>
    <t>Bob Bruin</t>
  </si>
  <si>
    <t>25% effort, 3 summer months</t>
  </si>
  <si>
    <t>Total Base</t>
  </si>
  <si>
    <t>Faculty &amp; Staff Predetermined</t>
  </si>
  <si>
    <t>Faculty &amp; Staff Provisional</t>
  </si>
  <si>
    <t>07/01/16 - 06/30/2020</t>
  </si>
  <si>
    <t>07/01/20 - Future</t>
  </si>
  <si>
    <t>50% effort, 12 months</t>
  </si>
  <si>
    <t>25% effort, 12 months</t>
  </si>
  <si>
    <t>Student Worker (2 in Year 2)</t>
  </si>
  <si>
    <t>F&amp;A (INDIRECT COSTS)</t>
  </si>
  <si>
    <t>FY 21 &amp; Future</t>
  </si>
  <si>
    <t>Total F&amp;A Costs</t>
  </si>
  <si>
    <t>Facilities and Administration/Indirect Cost Rates apply:</t>
  </si>
  <si>
    <t>Facilities and Administration/Indirect Costs</t>
  </si>
  <si>
    <t>F &amp; A Base FY 21 &amp; Future</t>
  </si>
  <si>
    <t>WD Object Class Code</t>
  </si>
  <si>
    <t>Personnel_Subject_to_FB</t>
  </si>
  <si>
    <t>Faculty-Exempt Salary</t>
  </si>
  <si>
    <t>Fringe_Benefits</t>
  </si>
  <si>
    <t>Graduate Assistant</t>
  </si>
  <si>
    <t>Materials_Supplies</t>
  </si>
  <si>
    <t>Domestic_Travel</t>
  </si>
  <si>
    <t>Subaward (SC0600)</t>
  </si>
  <si>
    <t>Tuition_Aid</t>
  </si>
  <si>
    <t>Equipment</t>
  </si>
  <si>
    <t>Facilities_and_Administration</t>
  </si>
  <si>
    <t>Student-Non-Exempt Wages</t>
  </si>
  <si>
    <t>Base Salary 21-22: $125,000/12</t>
  </si>
  <si>
    <t>12/01/22 to 11/30/23</t>
  </si>
  <si>
    <t>Base Salary 21-22:  $179,881/9</t>
  </si>
  <si>
    <t>An annual 3% increase was given to the 9 month faculty beginning August 16, 2022.</t>
  </si>
  <si>
    <t>An annual 3% increase was given to the 12 month faculty and staff beginning July 1, 2022.</t>
  </si>
  <si>
    <t>2022 NIH salary cap:  $203,700/12</t>
  </si>
  <si>
    <t>Research Period December 1, 2022 to November 30, 2024</t>
  </si>
  <si>
    <t>12/01/23 to 11/30/24</t>
  </si>
  <si>
    <t>Personnel_Not_Subject_to_FB</t>
  </si>
  <si>
    <t xml:space="preserve">Base Salary 22-23:  $76,000/12 </t>
  </si>
  <si>
    <t xml:space="preserve">Base Salary 23-24:  $80,000/12 </t>
  </si>
  <si>
    <t>10 hrs/week@$17/hr for 48weeks</t>
  </si>
  <si>
    <t>Lab supplies</t>
  </si>
  <si>
    <t>An annual 3% increase was given to the GRA beginning August 16, 2024.</t>
  </si>
  <si>
    <t>An annual 3% increase was added to the Tuition beginning August 16, 2023.</t>
  </si>
  <si>
    <t>FY 23-6 units/year/RA @ $2,309/unit</t>
  </si>
  <si>
    <t xml:space="preserve">  FY 23 &amp; Future</t>
  </si>
  <si>
    <t xml:space="preserve">Per the Federal Rate Agreement from June 15, 2022 the following Fringe Benefit and </t>
  </si>
  <si>
    <t>07/01/22 - 06/30/23</t>
  </si>
  <si>
    <t>07/01/23 -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</si>
</sst>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1" fillId="0" borderId="0" xfId="1" applyNumberFormat="1"/>
    <xf numFmtId="164" fontId="0" fillId="0" borderId="1" xfId="1" applyNumberFormat="1" applyFont="1" applyBorder="1"/>
    <xf numFmtId="0" fontId="4" fillId="0" borderId="0" xfId="0" applyFont="1"/>
    <xf numFmtId="164" fontId="2" fillId="0" borderId="2" xfId="1" applyNumberFormat="1" applyFont="1" applyBorder="1"/>
    <xf numFmtId="0" fontId="3" fillId="0" borderId="0" xfId="0" applyFont="1"/>
    <xf numFmtId="164" fontId="1" fillId="0" borderId="1" xfId="1" applyNumberFormat="1" applyBorder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164" fontId="2" fillId="0" borderId="3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wrapText="1"/>
    </xf>
    <xf numFmtId="0" fontId="5" fillId="0" borderId="0" xfId="0" applyFont="1"/>
    <xf numFmtId="43" fontId="1" fillId="0" borderId="0" xfId="1" applyNumberFormat="1"/>
    <xf numFmtId="10" fontId="6" fillId="2" borderId="0" xfId="2" applyNumberFormat="1" applyFont="1" applyFill="1"/>
    <xf numFmtId="0" fontId="6" fillId="0" borderId="0" xfId="0" applyFont="1"/>
    <xf numFmtId="0" fontId="6" fillId="0" borderId="0" xfId="0" applyFont="1" applyBorder="1"/>
    <xf numFmtId="164" fontId="6" fillId="3" borderId="0" xfId="1" applyNumberFormat="1" applyFont="1" applyFill="1" applyBorder="1"/>
    <xf numFmtId="164" fontId="3" fillId="0" borderId="1" xfId="1" applyNumberFormat="1" applyFont="1" applyBorder="1"/>
    <xf numFmtId="0" fontId="3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center" wrapText="1"/>
    </xf>
    <xf numFmtId="10" fontId="5" fillId="0" borderId="0" xfId="2" applyNumberFormat="1" applyFont="1" applyAlignment="1"/>
    <xf numFmtId="10" fontId="5" fillId="0" borderId="0" xfId="2" applyNumberFormat="1" applyFont="1"/>
    <xf numFmtId="10" fontId="6" fillId="0" borderId="0" xfId="2" applyNumberFormat="1" applyFont="1"/>
    <xf numFmtId="10" fontId="6" fillId="0" borderId="3" xfId="2" applyNumberFormat="1" applyFont="1" applyBorder="1" applyAlignment="1">
      <alignment wrapText="1"/>
    </xf>
    <xf numFmtId="10" fontId="6" fillId="0" borderId="0" xfId="2" applyNumberFormat="1" applyFont="1" applyBorder="1" applyAlignment="1">
      <alignment wrapText="1"/>
    </xf>
    <xf numFmtId="10" fontId="6" fillId="3" borderId="0" xfId="2" applyNumberFormat="1" applyFont="1" applyFill="1"/>
    <xf numFmtId="10" fontId="7" fillId="0" borderId="0" xfId="2" applyNumberFormat="1" applyFont="1"/>
    <xf numFmtId="0" fontId="8" fillId="0" borderId="0" xfId="0" applyFont="1"/>
    <xf numFmtId="10" fontId="9" fillId="0" borderId="0" xfId="2" applyNumberFormat="1" applyFont="1"/>
    <xf numFmtId="0" fontId="10" fillId="0" borderId="0" xfId="0" applyFont="1"/>
    <xf numFmtId="0" fontId="10" fillId="0" borderId="0" xfId="0" applyFont="1" applyBorder="1"/>
    <xf numFmtId="164" fontId="11" fillId="0" borderId="0" xfId="1" applyNumberFormat="1" applyFont="1" applyBorder="1" applyAlignment="1">
      <alignment horizontal="center" wrapText="1"/>
    </xf>
    <xf numFmtId="0" fontId="11" fillId="0" borderId="0" xfId="0" applyFont="1"/>
    <xf numFmtId="0" fontId="2" fillId="0" borderId="0" xfId="0" applyFont="1" applyBorder="1" applyAlignment="1">
      <alignment wrapText="1"/>
    </xf>
    <xf numFmtId="164" fontId="11" fillId="0" borderId="0" xfId="1" applyNumberFormat="1" applyFont="1"/>
    <xf numFmtId="0" fontId="11" fillId="0" borderId="0" xfId="0" applyFont="1" applyBorder="1"/>
    <xf numFmtId="164" fontId="11" fillId="0" borderId="3" xfId="1" applyNumberFormat="1" applyFont="1" applyBorder="1"/>
    <xf numFmtId="0" fontId="1" fillId="0" borderId="0" xfId="0" applyFont="1"/>
    <xf numFmtId="0" fontId="12" fillId="0" borderId="0" xfId="0" applyFont="1"/>
    <xf numFmtId="0" fontId="13" fillId="0" borderId="0" xfId="0" applyFont="1"/>
    <xf numFmtId="164" fontId="0" fillId="0" borderId="3" xfId="1" applyNumberFormat="1" applyFont="1" applyBorder="1"/>
    <xf numFmtId="164" fontId="2" fillId="0" borderId="0" xfId="1" applyNumberFormat="1" applyFont="1" applyBorder="1"/>
    <xf numFmtId="0" fontId="2" fillId="0" borderId="4" xfId="0" applyFont="1" applyBorder="1"/>
    <xf numFmtId="10" fontId="6" fillId="0" borderId="5" xfId="2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10" fontId="6" fillId="0" borderId="0" xfId="2" applyNumberFormat="1" applyFont="1" applyBorder="1"/>
    <xf numFmtId="164" fontId="0" fillId="0" borderId="9" xfId="1" applyNumberFormat="1" applyFont="1" applyBorder="1"/>
    <xf numFmtId="0" fontId="2" fillId="0" borderId="10" xfId="0" applyFont="1" applyBorder="1"/>
    <xf numFmtId="10" fontId="5" fillId="0" borderId="11" xfId="2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0" fontId="3" fillId="0" borderId="7" xfId="0" applyFont="1" applyBorder="1"/>
    <xf numFmtId="164" fontId="3" fillId="0" borderId="0" xfId="1" applyNumberFormat="1" applyFont="1"/>
    <xf numFmtId="164" fontId="14" fillId="0" borderId="0" xfId="1" applyNumberFormat="1" applyFont="1"/>
    <xf numFmtId="164" fontId="3" fillId="0" borderId="0" xfId="1" applyNumberFormat="1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164" fontId="1" fillId="0" borderId="0" xfId="1" applyNumberFormat="1" applyBorder="1"/>
    <xf numFmtId="164" fontId="0" fillId="0" borderId="0" xfId="0" applyNumberFormat="1"/>
    <xf numFmtId="10" fontId="6" fillId="0" borderId="0" xfId="2" applyNumberFormat="1" applyFont="1" applyFill="1"/>
    <xf numFmtId="0" fontId="3" fillId="0" borderId="0" xfId="0" applyFont="1" applyFill="1" applyAlignment="1">
      <alignment horizontal="left" indent="1"/>
    </xf>
    <xf numFmtId="164" fontId="6" fillId="0" borderId="1" xfId="1" applyNumberFormat="1" applyFont="1" applyFill="1" applyBorder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3" xfId="1" quotePrefix="1" applyNumberFormat="1" applyFont="1" applyBorder="1" applyAlignment="1">
      <alignment horizontal="center" wrapText="1"/>
    </xf>
    <xf numFmtId="0" fontId="4" fillId="0" borderId="0" xfId="0" quotePrefix="1" applyFont="1" applyAlignment="1">
      <alignment horizontal="left"/>
    </xf>
    <xf numFmtId="0" fontId="3" fillId="0" borderId="7" xfId="0" quotePrefix="1" applyFont="1" applyBorder="1" applyAlignment="1">
      <alignment horizontal="left"/>
    </xf>
    <xf numFmtId="0" fontId="0" fillId="0" borderId="0" xfId="0" quotePrefix="1" applyAlignment="1">
      <alignment horizontal="left"/>
    </xf>
    <xf numFmtId="0" fontId="3" fillId="3" borderId="0" xfId="0" quotePrefix="1" applyFont="1" applyFill="1" applyAlignment="1">
      <alignment horizontal="left" indent="1"/>
    </xf>
    <xf numFmtId="9" fontId="0" fillId="0" borderId="0" xfId="2" applyFont="1"/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Normal="100" workbookViewId="0">
      <pane ySplit="7" topLeftCell="A8" activePane="bottomLeft" state="frozen"/>
      <selection pane="bottomLeft" activeCell="A2" sqref="A2"/>
    </sheetView>
  </sheetViews>
  <sheetFormatPr defaultColWidth="11.42578125" defaultRowHeight="12.75" x14ac:dyDescent="0.2"/>
  <cols>
    <col min="1" max="1" width="14.7109375" style="12" customWidth="1"/>
    <col min="2" max="2" width="28.42578125" customWidth="1"/>
    <col min="3" max="3" width="8.85546875" style="28" customWidth="1"/>
    <col min="4" max="4" width="11.7109375" customWidth="1"/>
    <col min="5" max="5" width="12" customWidth="1"/>
    <col min="6" max="6" width="15.7109375" customWidth="1"/>
    <col min="7" max="7" width="9.140625" style="11" customWidth="1"/>
  </cols>
  <sheetData>
    <row r="1" spans="1:7" s="35" customFormat="1" ht="15" x14ac:dyDescent="0.2">
      <c r="A1" s="78"/>
      <c r="B1" s="33" t="s">
        <v>0</v>
      </c>
      <c r="C1" s="34"/>
      <c r="G1" s="36"/>
    </row>
    <row r="3" spans="1:7" x14ac:dyDescent="0.2">
      <c r="B3" s="9" t="s">
        <v>21</v>
      </c>
      <c r="C3" s="26"/>
      <c r="D3" s="10"/>
      <c r="E3" s="10"/>
      <c r="F3" s="10"/>
    </row>
    <row r="4" spans="1:7" x14ac:dyDescent="0.2">
      <c r="B4" s="1" t="s">
        <v>33</v>
      </c>
      <c r="C4" s="27"/>
      <c r="D4" s="3"/>
      <c r="E4" s="3"/>
      <c r="F4" s="3"/>
    </row>
    <row r="5" spans="1:7" x14ac:dyDescent="0.2">
      <c r="B5" s="71" t="s">
        <v>69</v>
      </c>
      <c r="C5" s="26"/>
      <c r="D5" s="10"/>
      <c r="E5" s="10"/>
      <c r="F5" s="3"/>
      <c r="G5"/>
    </row>
    <row r="6" spans="1:7" x14ac:dyDescent="0.2">
      <c r="D6" s="2"/>
      <c r="E6" s="2"/>
      <c r="F6" s="2"/>
      <c r="G6"/>
    </row>
    <row r="7" spans="1:7" s="12" customFormat="1" ht="25.5" x14ac:dyDescent="0.2">
      <c r="A7" s="12" t="s">
        <v>51</v>
      </c>
      <c r="B7" s="16"/>
      <c r="C7" s="29" t="s">
        <v>1</v>
      </c>
      <c r="D7" s="72" t="s">
        <v>64</v>
      </c>
      <c r="E7" s="72" t="s">
        <v>70</v>
      </c>
      <c r="F7" s="13" t="s">
        <v>3</v>
      </c>
    </row>
    <row r="8" spans="1:7" s="12" customFormat="1" ht="25.5" x14ac:dyDescent="0.2">
      <c r="A8" s="12" t="s">
        <v>52</v>
      </c>
      <c r="B8" s="39" t="s">
        <v>5</v>
      </c>
      <c r="C8" s="30"/>
      <c r="D8" s="25"/>
      <c r="E8" s="25"/>
      <c r="F8" s="25"/>
    </row>
    <row r="9" spans="1:7" s="12" customFormat="1" x14ac:dyDescent="0.2">
      <c r="B9" s="24"/>
      <c r="C9" s="30"/>
      <c r="D9" s="25"/>
      <c r="E9" s="25"/>
      <c r="F9" s="25"/>
    </row>
    <row r="10" spans="1:7" s="12" customFormat="1" ht="25.5" x14ac:dyDescent="0.2">
      <c r="A10" s="12" t="s">
        <v>53</v>
      </c>
      <c r="B10" s="38" t="s">
        <v>2</v>
      </c>
      <c r="C10" s="30"/>
      <c r="D10" s="25"/>
      <c r="E10" s="25"/>
      <c r="F10" s="25"/>
    </row>
    <row r="11" spans="1:7" s="12" customFormat="1" x14ac:dyDescent="0.2">
      <c r="B11" t="s">
        <v>34</v>
      </c>
      <c r="C11" s="30"/>
      <c r="D11" s="25"/>
      <c r="E11" s="25"/>
      <c r="F11" s="25"/>
    </row>
    <row r="12" spans="1:7" s="12" customFormat="1" x14ac:dyDescent="0.2">
      <c r="B12" t="s">
        <v>36</v>
      </c>
      <c r="C12" s="30"/>
      <c r="D12" s="63">
        <f>SUM((203700/12*3))*25%</f>
        <v>12731.25</v>
      </c>
      <c r="E12" s="63">
        <f>SUM(D12)</f>
        <v>12731.25</v>
      </c>
      <c r="F12" s="63">
        <f>SUM(D12:E12)</f>
        <v>25462.5</v>
      </c>
    </row>
    <row r="13" spans="1:7" s="12" customFormat="1" x14ac:dyDescent="0.2">
      <c r="B13" s="70" t="s">
        <v>68</v>
      </c>
      <c r="C13" s="30"/>
      <c r="D13" s="25"/>
      <c r="E13" s="25"/>
      <c r="F13" s="25"/>
    </row>
    <row r="14" spans="1:7" s="12" customFormat="1" x14ac:dyDescent="0.2">
      <c r="B14"/>
      <c r="C14" s="30"/>
      <c r="D14" s="25"/>
      <c r="E14" s="25"/>
      <c r="F14" s="25"/>
    </row>
    <row r="15" spans="1:7" s="12" customFormat="1" x14ac:dyDescent="0.2">
      <c r="B15" t="s">
        <v>27</v>
      </c>
      <c r="C15" s="30"/>
      <c r="D15" s="25"/>
      <c r="E15" s="25"/>
      <c r="F15" s="25"/>
    </row>
    <row r="16" spans="1:7" s="12" customFormat="1" ht="25.5" x14ac:dyDescent="0.2">
      <c r="A16" s="12" t="s">
        <v>53</v>
      </c>
      <c r="B16" t="s">
        <v>35</v>
      </c>
      <c r="C16" s="30"/>
      <c r="D16" s="25"/>
      <c r="E16" s="25"/>
      <c r="F16" s="25"/>
    </row>
    <row r="17" spans="1:7" s="12" customFormat="1" x14ac:dyDescent="0.2">
      <c r="A17" s="79"/>
      <c r="B17" t="s">
        <v>43</v>
      </c>
      <c r="C17" s="30"/>
      <c r="D17" s="63">
        <f>SUM((125000*1.03/12*7)+(125000*1.03*1.03/12*5))*25%</f>
        <v>32589.843749999996</v>
      </c>
      <c r="E17" s="63">
        <f>D17*1.03</f>
        <v>33567.5390625</v>
      </c>
      <c r="F17" s="37">
        <f>SUM(D17:E17)</f>
        <v>66157.3828125</v>
      </c>
    </row>
    <row r="18" spans="1:7" s="12" customFormat="1" x14ac:dyDescent="0.2">
      <c r="A18" s="79"/>
      <c r="B18" s="70" t="s">
        <v>63</v>
      </c>
      <c r="C18" s="30"/>
      <c r="D18" s="63"/>
      <c r="E18" s="63"/>
      <c r="F18" s="37"/>
    </row>
    <row r="19" spans="1:7" s="38" customFormat="1" x14ac:dyDescent="0.2">
      <c r="A19" s="79"/>
      <c r="C19" s="28"/>
      <c r="D19" s="42"/>
      <c r="E19" s="42"/>
      <c r="F19" s="42"/>
      <c r="G19" s="41"/>
    </row>
    <row r="20" spans="1:7" s="38" customFormat="1" x14ac:dyDescent="0.2">
      <c r="A20" s="79"/>
      <c r="B20" s="1" t="s">
        <v>6</v>
      </c>
      <c r="C20" s="28"/>
      <c r="D20" s="40">
        <f>SUM(D8:D19)</f>
        <v>45321.09375</v>
      </c>
      <c r="E20" s="40">
        <f>SUM(E8:E19)</f>
        <v>46298.7890625</v>
      </c>
      <c r="F20" s="40">
        <f>SUM(F8:F19)</f>
        <v>91619.8828125</v>
      </c>
      <c r="G20" s="41"/>
    </row>
    <row r="21" spans="1:7" s="38" customFormat="1" x14ac:dyDescent="0.2">
      <c r="A21" s="79"/>
      <c r="C21" s="28"/>
      <c r="D21" s="40"/>
      <c r="E21" s="40"/>
      <c r="F21" s="40"/>
      <c r="G21" s="41"/>
    </row>
    <row r="22" spans="1:7" x14ac:dyDescent="0.2">
      <c r="A22" s="12" t="s">
        <v>54</v>
      </c>
      <c r="B22" s="1" t="s">
        <v>15</v>
      </c>
      <c r="D22" s="2"/>
      <c r="E22" s="2"/>
      <c r="F22" s="3"/>
    </row>
    <row r="23" spans="1:7" x14ac:dyDescent="0.2">
      <c r="A23" s="79"/>
      <c r="B23" s="70" t="s">
        <v>79</v>
      </c>
      <c r="C23" s="27">
        <v>0.34300000000000003</v>
      </c>
      <c r="D23" s="2">
        <f>SUM(D20)*C23</f>
        <v>15545.13515625</v>
      </c>
      <c r="E23" s="2">
        <f>E20*C23</f>
        <v>15880.484648437501</v>
      </c>
      <c r="F23" s="61">
        <f>SUM(D23:E23)</f>
        <v>31425.6198046875</v>
      </c>
    </row>
    <row r="24" spans="1:7" x14ac:dyDescent="0.2">
      <c r="A24" s="79"/>
      <c r="C24" s="27"/>
      <c r="D24" s="2"/>
      <c r="E24" s="2"/>
      <c r="F24" s="3"/>
    </row>
    <row r="25" spans="1:7" ht="25.5" x14ac:dyDescent="0.2">
      <c r="A25" s="12" t="s">
        <v>71</v>
      </c>
      <c r="B25" s="1" t="s">
        <v>8</v>
      </c>
      <c r="C25" s="27"/>
      <c r="D25" s="2"/>
      <c r="E25" s="2"/>
      <c r="F25" s="3"/>
    </row>
    <row r="26" spans="1:7" x14ac:dyDescent="0.2">
      <c r="A26" s="79"/>
      <c r="B26" s="1"/>
      <c r="C26" s="27"/>
      <c r="D26" s="2"/>
      <c r="E26" s="2"/>
      <c r="F26" s="3"/>
    </row>
    <row r="27" spans="1:7" s="38" customFormat="1" ht="25.5" x14ac:dyDescent="0.2">
      <c r="A27" s="12" t="s">
        <v>55</v>
      </c>
      <c r="B27" s="38" t="s">
        <v>16</v>
      </c>
      <c r="C27" s="28"/>
      <c r="D27" s="40"/>
      <c r="E27" s="40"/>
      <c r="F27" s="40"/>
      <c r="G27" s="41"/>
    </row>
    <row r="28" spans="1:7" s="38" customFormat="1" x14ac:dyDescent="0.2">
      <c r="B28" s="7" t="s">
        <v>42</v>
      </c>
      <c r="C28" s="28"/>
      <c r="D28" s="37">
        <f>SUM((76000/12*8.5)+(80000/12*3.5))*50%</f>
        <v>38583.333333333328</v>
      </c>
      <c r="E28" s="37">
        <f>SUM((80000/12*8.5)+(80000*1.03/12*3.5))*50%</f>
        <v>40350</v>
      </c>
      <c r="F28" s="37">
        <f>SUM(D28:E28)</f>
        <v>78933.333333333328</v>
      </c>
      <c r="G28" s="41"/>
    </row>
    <row r="29" spans="1:7" s="38" customFormat="1" x14ac:dyDescent="0.2">
      <c r="A29" s="12"/>
      <c r="B29" s="7" t="s">
        <v>72</v>
      </c>
      <c r="C29" s="28"/>
      <c r="D29" s="40"/>
      <c r="E29" s="37"/>
      <c r="F29" s="37"/>
      <c r="G29" s="41"/>
    </row>
    <row r="30" spans="1:7" s="38" customFormat="1" x14ac:dyDescent="0.2">
      <c r="A30" s="80"/>
      <c r="B30" s="70" t="s">
        <v>73</v>
      </c>
      <c r="C30" s="28"/>
      <c r="D30" s="40"/>
      <c r="E30" s="40"/>
      <c r="F30" s="40"/>
      <c r="G30" s="41"/>
    </row>
    <row r="31" spans="1:7" s="38" customFormat="1" x14ac:dyDescent="0.2">
      <c r="A31" s="80"/>
      <c r="B31" s="70"/>
      <c r="C31" s="28"/>
      <c r="D31" s="40"/>
      <c r="E31" s="40"/>
      <c r="F31" s="40"/>
      <c r="G31" s="41"/>
    </row>
    <row r="32" spans="1:7" s="38" customFormat="1" ht="25.5" x14ac:dyDescent="0.2">
      <c r="A32" s="82" t="s">
        <v>62</v>
      </c>
      <c r="B32" s="7" t="s">
        <v>44</v>
      </c>
      <c r="C32" s="28"/>
      <c r="D32" s="40">
        <f>17*10*48</f>
        <v>8160</v>
      </c>
      <c r="E32" s="40">
        <f>17*10*48*2</f>
        <v>16320</v>
      </c>
      <c r="F32" s="37">
        <f>SUM(D32:E32)</f>
        <v>24480</v>
      </c>
      <c r="G32" s="41"/>
    </row>
    <row r="33" spans="1:8" s="38" customFormat="1" x14ac:dyDescent="0.2">
      <c r="A33" s="12"/>
      <c r="B33" s="7" t="s">
        <v>74</v>
      </c>
      <c r="C33" s="28"/>
      <c r="D33" s="40"/>
      <c r="E33" s="40"/>
      <c r="F33" s="40"/>
      <c r="G33" s="41"/>
    </row>
    <row r="34" spans="1:8" s="38" customFormat="1" x14ac:dyDescent="0.2">
      <c r="A34" s="12"/>
      <c r="B34" s="7"/>
      <c r="C34" s="28"/>
      <c r="D34" s="40"/>
      <c r="E34" s="40"/>
      <c r="F34" s="37"/>
      <c r="G34" s="41"/>
    </row>
    <row r="35" spans="1:8" s="38" customFormat="1" ht="25.5" x14ac:dyDescent="0.2">
      <c r="A35" s="83" t="s">
        <v>62</v>
      </c>
      <c r="B35" s="7" t="s">
        <v>28</v>
      </c>
      <c r="C35" s="28"/>
      <c r="D35" s="40"/>
      <c r="E35" s="40">
        <f>100*20</f>
        <v>2000</v>
      </c>
      <c r="F35" s="37">
        <f>SUM(D35:E35)</f>
        <v>2000</v>
      </c>
      <c r="G35" s="41"/>
    </row>
    <row r="36" spans="1:8" s="38" customFormat="1" x14ac:dyDescent="0.2">
      <c r="B36" s="7" t="s">
        <v>29</v>
      </c>
      <c r="C36" s="28"/>
      <c r="D36" s="40"/>
      <c r="E36" s="40"/>
      <c r="F36" s="40"/>
      <c r="G36" s="41"/>
    </row>
    <row r="37" spans="1:8" x14ac:dyDescent="0.2">
      <c r="A37" s="79"/>
      <c r="D37" s="2"/>
      <c r="E37" s="2"/>
      <c r="F37" s="3"/>
    </row>
    <row r="38" spans="1:8" s="7" customFormat="1" x14ac:dyDescent="0.2">
      <c r="A38" s="79"/>
      <c r="B38" s="7" t="s">
        <v>7</v>
      </c>
      <c r="C38" s="28"/>
      <c r="D38" s="23">
        <f>SUM(D20:D37)</f>
        <v>107609.56223958332</v>
      </c>
      <c r="E38" s="23">
        <f>SUM(E20:E37)</f>
        <v>120849.2737109375</v>
      </c>
      <c r="F38" s="23">
        <f>SUM(F20:F37)</f>
        <v>228458.83595052082</v>
      </c>
      <c r="G38" s="15"/>
    </row>
    <row r="39" spans="1:8" x14ac:dyDescent="0.2">
      <c r="A39" s="79"/>
      <c r="B39" s="17"/>
      <c r="C39" s="27"/>
      <c r="D39" s="18"/>
      <c r="E39" s="18"/>
      <c r="F39" s="3"/>
    </row>
    <row r="40" spans="1:8" ht="25.5" x14ac:dyDescent="0.2">
      <c r="A40" s="12" t="s">
        <v>56</v>
      </c>
      <c r="B40" s="1" t="s">
        <v>10</v>
      </c>
      <c r="C40" s="27"/>
    </row>
    <row r="41" spans="1:8" x14ac:dyDescent="0.2">
      <c r="A41" s="79"/>
      <c r="B41" s="64" t="s">
        <v>75</v>
      </c>
      <c r="C41" s="27"/>
      <c r="D41" s="3">
        <v>5415</v>
      </c>
      <c r="E41" s="3">
        <v>2756</v>
      </c>
      <c r="F41" s="3">
        <f>SUM(D41:E41)</f>
        <v>8171</v>
      </c>
    </row>
    <row r="42" spans="1:8" x14ac:dyDescent="0.2">
      <c r="B42" s="5"/>
      <c r="C42" s="32"/>
      <c r="D42" s="3"/>
      <c r="E42" s="3"/>
      <c r="F42" s="3"/>
    </row>
    <row r="43" spans="1:8" x14ac:dyDescent="0.2">
      <c r="A43" s="12" t="s">
        <v>57</v>
      </c>
      <c r="B43" s="1" t="s">
        <v>9</v>
      </c>
      <c r="C43" s="32"/>
      <c r="D43" s="3">
        <v>3000</v>
      </c>
      <c r="E43" s="3">
        <v>3000</v>
      </c>
      <c r="F43" s="3">
        <f>SUM(D43:E43)</f>
        <v>6000</v>
      </c>
    </row>
    <row r="44" spans="1:8" x14ac:dyDescent="0.2">
      <c r="B44" s="43"/>
      <c r="D44" s="3"/>
      <c r="E44" s="3"/>
      <c r="F44" s="3"/>
    </row>
    <row r="45" spans="1:8" x14ac:dyDescent="0.2">
      <c r="B45" s="1" t="s">
        <v>18</v>
      </c>
      <c r="D45" s="3"/>
      <c r="E45" s="3"/>
      <c r="F45" s="3"/>
    </row>
    <row r="46" spans="1:8" ht="25.5" x14ac:dyDescent="0.2">
      <c r="A46" s="12" t="s">
        <v>58</v>
      </c>
      <c r="B46" t="s">
        <v>32</v>
      </c>
      <c r="D46" s="3">
        <v>25000</v>
      </c>
      <c r="E46" s="3"/>
      <c r="F46" s="3">
        <f>SUM(D46:E46)</f>
        <v>25000</v>
      </c>
      <c r="H46" s="66"/>
    </row>
    <row r="47" spans="1:8" ht="25.5" x14ac:dyDescent="0.2">
      <c r="A47" s="12" t="s">
        <v>58</v>
      </c>
      <c r="B47" t="s">
        <v>32</v>
      </c>
      <c r="D47" s="3"/>
      <c r="E47" s="3">
        <v>34000</v>
      </c>
      <c r="F47" s="3">
        <f>SUM(D47:E47)</f>
        <v>34000</v>
      </c>
      <c r="H47" s="77"/>
    </row>
    <row r="48" spans="1:8" ht="25.5" x14ac:dyDescent="0.2">
      <c r="A48" s="12" t="s">
        <v>58</v>
      </c>
      <c r="B48" t="s">
        <v>31</v>
      </c>
      <c r="D48" s="3">
        <f>D46*20%</f>
        <v>5000</v>
      </c>
      <c r="E48" s="3">
        <f>E47*20%</f>
        <v>6800</v>
      </c>
      <c r="F48" s="3">
        <f>SUM(D48:E48)</f>
        <v>11800</v>
      </c>
    </row>
    <row r="49" spans="1:9" x14ac:dyDescent="0.2">
      <c r="B49" s="43"/>
      <c r="D49" s="3"/>
      <c r="E49" s="3"/>
      <c r="F49" s="3"/>
      <c r="H49" s="66"/>
    </row>
    <row r="50" spans="1:9" x14ac:dyDescent="0.2">
      <c r="A50" s="12" t="s">
        <v>59</v>
      </c>
      <c r="B50" s="1" t="s">
        <v>17</v>
      </c>
      <c r="D50" s="62">
        <f>SUM((2309*6/12*8.5)+(2309*1.03*6/12*3.5))</f>
        <v>13975.2225</v>
      </c>
      <c r="E50" s="62">
        <f>D50*1.03</f>
        <v>14394.479175</v>
      </c>
      <c r="F50" s="37">
        <f>SUM(D50:E50)</f>
        <v>28369.701675</v>
      </c>
    </row>
    <row r="51" spans="1:9" x14ac:dyDescent="0.2">
      <c r="B51" s="73" t="s">
        <v>78</v>
      </c>
      <c r="D51" s="3"/>
      <c r="E51" s="3"/>
      <c r="F51" s="3"/>
    </row>
    <row r="52" spans="1:9" x14ac:dyDescent="0.2">
      <c r="B52" s="43"/>
      <c r="D52" s="3"/>
      <c r="E52" s="3"/>
      <c r="F52" s="3"/>
    </row>
    <row r="53" spans="1:9" x14ac:dyDescent="0.2">
      <c r="A53" s="12" t="s">
        <v>60</v>
      </c>
      <c r="B53" s="44" t="s">
        <v>20</v>
      </c>
      <c r="C53" s="32"/>
      <c r="D53" s="2">
        <v>20000</v>
      </c>
      <c r="E53" s="2"/>
      <c r="F53" s="37">
        <f>SUM(D53:E53)</f>
        <v>20000</v>
      </c>
      <c r="G53"/>
      <c r="I53" s="66"/>
    </row>
    <row r="54" spans="1:9" x14ac:dyDescent="0.2">
      <c r="B54" s="45"/>
      <c r="C54" s="32"/>
      <c r="D54" s="2"/>
      <c r="E54" s="2"/>
      <c r="F54" s="2"/>
      <c r="G54"/>
    </row>
    <row r="55" spans="1:9" x14ac:dyDescent="0.2">
      <c r="B55" t="s">
        <v>4</v>
      </c>
      <c r="D55" s="8">
        <f>SUM(D38:D53)</f>
        <v>179999.78473958332</v>
      </c>
      <c r="E55" s="8">
        <f>SUM(E38:E53)</f>
        <v>181799.75288593752</v>
      </c>
      <c r="F55" s="8">
        <f>SUM(F38:F53)</f>
        <v>361799.53762552084</v>
      </c>
    </row>
    <row r="56" spans="1:9" x14ac:dyDescent="0.2">
      <c r="D56" s="65"/>
      <c r="E56" s="65"/>
      <c r="F56" s="65"/>
      <c r="I56" s="66"/>
    </row>
    <row r="57" spans="1:9" x14ac:dyDescent="0.2">
      <c r="B57" s="1" t="s">
        <v>30</v>
      </c>
      <c r="C57" s="27"/>
      <c r="D57" s="47">
        <f>D55-D48</f>
        <v>174999.78473958332</v>
      </c>
      <c r="E57" s="47">
        <f>E55-E48</f>
        <v>174999.75288593752</v>
      </c>
      <c r="F57" s="47">
        <f>F55-F48</f>
        <v>349999.53762552084</v>
      </c>
      <c r="H57" s="66"/>
    </row>
    <row r="58" spans="1:9" x14ac:dyDescent="0.2">
      <c r="D58" s="3"/>
      <c r="E58" s="3"/>
      <c r="F58" s="3"/>
    </row>
    <row r="59" spans="1:9" x14ac:dyDescent="0.2">
      <c r="B59" t="s">
        <v>19</v>
      </c>
      <c r="D59" s="3"/>
      <c r="E59" s="3"/>
      <c r="F59" s="3"/>
    </row>
    <row r="60" spans="1:9" s="20" customFormat="1" x14ac:dyDescent="0.2">
      <c r="A60" s="12"/>
      <c r="B60" s="76" t="s">
        <v>50</v>
      </c>
      <c r="C60" s="31"/>
      <c r="D60" s="22">
        <f>SUM(D55-D50-D47-D53-D48)</f>
        <v>141024.56223958332</v>
      </c>
      <c r="E60" s="22">
        <f>SUM(E55-E50-E47-E53-E48)</f>
        <v>126605.27371093753</v>
      </c>
      <c r="F60" s="22">
        <f>SUM(D60:E60)</f>
        <v>267629.83595052082</v>
      </c>
      <c r="G60" s="21"/>
    </row>
    <row r="61" spans="1:9" s="20" customFormat="1" x14ac:dyDescent="0.2">
      <c r="A61" s="12"/>
      <c r="B61" s="68" t="s">
        <v>37</v>
      </c>
      <c r="C61" s="67"/>
      <c r="D61" s="69">
        <f>SUM(D60:D60)</f>
        <v>141024.56223958332</v>
      </c>
      <c r="E61" s="69">
        <f>SUM(E60:E60)</f>
        <v>126605.27371093753</v>
      </c>
      <c r="F61" s="69">
        <f>SUM(F60:F60)</f>
        <v>267629.83595052082</v>
      </c>
      <c r="G61" s="21"/>
    </row>
    <row r="62" spans="1:9" x14ac:dyDescent="0.2">
      <c r="D62" s="3"/>
      <c r="E62" s="3"/>
      <c r="F62" s="3"/>
    </row>
    <row r="63" spans="1:9" ht="25.5" x14ac:dyDescent="0.2">
      <c r="A63" s="12" t="s">
        <v>61</v>
      </c>
      <c r="B63" s="1" t="s">
        <v>45</v>
      </c>
      <c r="C63" s="27"/>
      <c r="D63" s="2"/>
      <c r="E63" s="2"/>
      <c r="F63" s="2"/>
    </row>
    <row r="64" spans="1:9" x14ac:dyDescent="0.2">
      <c r="B64" s="76" t="s">
        <v>46</v>
      </c>
      <c r="C64" s="19">
        <v>0.65</v>
      </c>
      <c r="D64" s="2">
        <f>D60*C64</f>
        <v>91665.965455729165</v>
      </c>
      <c r="E64" s="2">
        <f>E60*C64</f>
        <v>82293.4279121094</v>
      </c>
      <c r="F64" s="2">
        <f>SUM(D64:E64)</f>
        <v>173959.39336783858</v>
      </c>
      <c r="G64" s="14"/>
    </row>
    <row r="65" spans="1:7" x14ac:dyDescent="0.2">
      <c r="B65" t="s">
        <v>47</v>
      </c>
      <c r="D65" s="4">
        <f>SUM(D63:D64)</f>
        <v>91665.965455729165</v>
      </c>
      <c r="E65" s="4">
        <f>SUM(E63:E64)</f>
        <v>82293.4279121094</v>
      </c>
      <c r="F65" s="4">
        <f>SUM(F63:F64)</f>
        <v>173959.39336783858</v>
      </c>
      <c r="G65" s="14"/>
    </row>
    <row r="66" spans="1:7" x14ac:dyDescent="0.2">
      <c r="D66" s="2"/>
      <c r="E66" s="2"/>
      <c r="F66" s="2"/>
    </row>
    <row r="67" spans="1:7" ht="13.5" thickBot="1" x14ac:dyDescent="0.25">
      <c r="B67" s="1" t="s">
        <v>25</v>
      </c>
      <c r="C67" s="27"/>
      <c r="D67" s="6">
        <f>D65+D55</f>
        <v>271665.75019531249</v>
      </c>
      <c r="E67" s="6">
        <f>E65+E55</f>
        <v>264093.18079804693</v>
      </c>
      <c r="F67" s="6">
        <f>F65+F55</f>
        <v>535758.93099335942</v>
      </c>
    </row>
    <row r="68" spans="1:7" ht="14.25" thickTop="1" thickBot="1" x14ac:dyDescent="0.25">
      <c r="A68" s="81"/>
      <c r="B68" s="1"/>
      <c r="C68" s="27"/>
      <c r="D68" s="47"/>
      <c r="E68" s="47"/>
      <c r="F68" s="47"/>
    </row>
    <row r="69" spans="1:7" x14ac:dyDescent="0.2">
      <c r="A69" s="81"/>
      <c r="B69" s="48" t="s">
        <v>22</v>
      </c>
      <c r="C69" s="49"/>
      <c r="D69" s="50"/>
      <c r="E69" s="50"/>
      <c r="F69" s="51"/>
      <c r="G69" s="14"/>
    </row>
    <row r="70" spans="1:7" x14ac:dyDescent="0.2">
      <c r="B70" s="52" t="s">
        <v>34</v>
      </c>
      <c r="C70" s="30"/>
      <c r="D70" s="25"/>
      <c r="E70" s="14"/>
      <c r="F70" s="53"/>
      <c r="G70" s="14"/>
    </row>
    <row r="71" spans="1:7" x14ac:dyDescent="0.2">
      <c r="B71" s="60" t="s">
        <v>36</v>
      </c>
      <c r="C71" s="30"/>
      <c r="D71" s="37">
        <f>SUM((179881*1.03/9*5.5)+(179881*1.03*1.03/9*3.5))*25%</f>
        <v>46859.750004166664</v>
      </c>
      <c r="E71" s="14">
        <f>SUM(D71*1.03)</f>
        <v>48265.542504291669</v>
      </c>
      <c r="F71" s="53">
        <f>SUM(D71:E71)</f>
        <v>95125.29250845834</v>
      </c>
      <c r="G71" s="14"/>
    </row>
    <row r="72" spans="1:7" x14ac:dyDescent="0.2">
      <c r="B72" s="74" t="s">
        <v>65</v>
      </c>
      <c r="C72" s="54"/>
      <c r="D72" s="14"/>
      <c r="E72" s="14"/>
      <c r="F72" s="53"/>
      <c r="G72" s="14"/>
    </row>
    <row r="73" spans="1:7" x14ac:dyDescent="0.2">
      <c r="B73" s="52"/>
      <c r="C73" s="54"/>
      <c r="D73" s="14"/>
      <c r="E73" s="14"/>
      <c r="F73" s="53"/>
      <c r="G73" s="14"/>
    </row>
    <row r="74" spans="1:7" x14ac:dyDescent="0.2">
      <c r="B74" s="52" t="s">
        <v>26</v>
      </c>
      <c r="C74" s="54"/>
      <c r="D74" s="14">
        <f>D71-D12</f>
        <v>34128.500004166664</v>
      </c>
      <c r="E74" s="14">
        <f>E71-E12</f>
        <v>35534.292504291669</v>
      </c>
      <c r="F74" s="53">
        <f>SUM(D74:E74)</f>
        <v>69662.79250845834</v>
      </c>
      <c r="G74" s="14"/>
    </row>
    <row r="75" spans="1:7" x14ac:dyDescent="0.2">
      <c r="B75" s="52" t="s">
        <v>23</v>
      </c>
      <c r="C75" s="54"/>
      <c r="D75" s="46">
        <f>D74*C23</f>
        <v>11706.075501429166</v>
      </c>
      <c r="E75" s="46">
        <f>E74*C23</f>
        <v>12188.262328972043</v>
      </c>
      <c r="F75" s="55">
        <f>SUM(D75:E75)</f>
        <v>23894.337830401208</v>
      </c>
      <c r="G75" s="14"/>
    </row>
    <row r="76" spans="1:7" x14ac:dyDescent="0.2">
      <c r="B76" s="52" t="s">
        <v>24</v>
      </c>
      <c r="C76" s="54"/>
      <c r="D76" s="14">
        <f>D75+D74</f>
        <v>45834.575505595829</v>
      </c>
      <c r="E76" s="14">
        <f>E75+E74</f>
        <v>47722.554833263712</v>
      </c>
      <c r="F76" s="53">
        <f>F75+F74</f>
        <v>93557.130338859541</v>
      </c>
      <c r="G76" s="14"/>
    </row>
    <row r="77" spans="1:7" ht="13.5" thickBot="1" x14ac:dyDescent="0.25">
      <c r="B77" s="56"/>
      <c r="C77" s="57"/>
      <c r="D77" s="58"/>
      <c r="E77" s="58"/>
      <c r="F77" s="59"/>
    </row>
    <row r="78" spans="1:7" x14ac:dyDescent="0.2">
      <c r="B78" s="1"/>
      <c r="C78" s="27"/>
      <c r="D78" s="47"/>
      <c r="E78" s="47"/>
      <c r="F78" s="47"/>
    </row>
    <row r="79" spans="1:7" x14ac:dyDescent="0.2">
      <c r="B79" t="s">
        <v>11</v>
      </c>
    </row>
    <row r="80" spans="1:7" x14ac:dyDescent="0.2">
      <c r="B80" s="70" t="s">
        <v>66</v>
      </c>
    </row>
    <row r="81" spans="2:4" x14ac:dyDescent="0.2">
      <c r="B81" s="70" t="s">
        <v>67</v>
      </c>
    </row>
    <row r="82" spans="2:4" x14ac:dyDescent="0.2">
      <c r="B82" s="70" t="s">
        <v>76</v>
      </c>
    </row>
    <row r="83" spans="2:4" x14ac:dyDescent="0.2">
      <c r="B83" s="70" t="s">
        <v>77</v>
      </c>
    </row>
    <row r="85" spans="2:4" x14ac:dyDescent="0.2">
      <c r="B85" s="70" t="s">
        <v>80</v>
      </c>
    </row>
    <row r="86" spans="2:4" x14ac:dyDescent="0.2">
      <c r="B86" s="70" t="s">
        <v>48</v>
      </c>
    </row>
    <row r="88" spans="2:4" x14ac:dyDescent="0.2">
      <c r="B88" t="s">
        <v>12</v>
      </c>
    </row>
    <row r="89" spans="2:4" x14ac:dyDescent="0.2">
      <c r="B89" s="70" t="s">
        <v>81</v>
      </c>
      <c r="C89" s="28">
        <v>0.34300000000000003</v>
      </c>
      <c r="D89" s="70" t="s">
        <v>38</v>
      </c>
    </row>
    <row r="90" spans="2:4" x14ac:dyDescent="0.2">
      <c r="B90" s="70" t="s">
        <v>82</v>
      </c>
      <c r="C90" s="28">
        <v>0.34300000000000003</v>
      </c>
      <c r="D90" s="7" t="s">
        <v>39</v>
      </c>
    </row>
    <row r="91" spans="2:4" x14ac:dyDescent="0.2">
      <c r="B91" s="70"/>
      <c r="D91" s="7"/>
    </row>
    <row r="92" spans="2:4" x14ac:dyDescent="0.2">
      <c r="B92" t="s">
        <v>49</v>
      </c>
      <c r="D92" s="7"/>
    </row>
    <row r="93" spans="2:4" x14ac:dyDescent="0.2">
      <c r="B93" s="75" t="s">
        <v>40</v>
      </c>
      <c r="C93" s="28">
        <v>0.65</v>
      </c>
      <c r="D93" t="s">
        <v>13</v>
      </c>
    </row>
    <row r="94" spans="2:4" x14ac:dyDescent="0.2">
      <c r="B94" s="75" t="s">
        <v>41</v>
      </c>
      <c r="C94" s="28">
        <v>0.65</v>
      </c>
      <c r="D94" s="7" t="s">
        <v>14</v>
      </c>
    </row>
  </sheetData>
  <phoneticPr fontId="0" type="noConversion"/>
  <pageMargins left="0.5" right="0.5" top="0.5" bottom="0.5" header="0.32" footer="0.17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Master!Print_Titles</vt:lpstr>
    </vt:vector>
  </TitlesOfParts>
  <Company>USC EFO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1</dc:title>
  <dc:creator>slf</dc:creator>
  <cp:lastModifiedBy>Nichole Phillips</cp:lastModifiedBy>
  <cp:lastPrinted>2010-10-14T15:33:45Z</cp:lastPrinted>
  <dcterms:created xsi:type="dcterms:W3CDTF">2001-01-26T23:48:01Z</dcterms:created>
  <dcterms:modified xsi:type="dcterms:W3CDTF">2022-07-01T20:05:43Z</dcterms:modified>
</cp:coreProperties>
</file>