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Office-of-the-Dean/VBA/Fin/Research Administration/Website/Budget Samples/"/>
    </mc:Choice>
  </mc:AlternateContent>
  <xr:revisionPtr revIDLastSave="0" documentId="8_{E7E471D5-99D4-8940-9CFA-43AF28A4BA69}" xr6:coauthVersionLast="47" xr6:coauthVersionMax="47" xr10:uidLastSave="{00000000-0000-0000-0000-000000000000}"/>
  <bookViews>
    <workbookView xWindow="0" yWindow="500" windowWidth="22760" windowHeight="19680" xr2:uid="{00000000-000D-0000-FFFF-FFFF00000000}"/>
  </bookViews>
  <sheets>
    <sheet name="Standard" sheetId="2" r:id="rId1"/>
    <sheet name="Participant Support" sheetId="4" r:id="rId2"/>
  </sheets>
  <definedNames>
    <definedName name="_xlnm.Print_Titles" localSheetId="1">'Participant Support'!$1:$7</definedName>
    <definedName name="_xlnm.Print_Titles" localSheetId="0">Standard!$1:$7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7" i="2" l="1"/>
  <c r="G77" i="2"/>
  <c r="F77" i="2"/>
  <c r="E77" i="2"/>
  <c r="D77" i="2"/>
  <c r="D76" i="2"/>
  <c r="E46" i="2"/>
  <c r="F46" i="2" l="1"/>
  <c r="G46" i="2" s="1"/>
  <c r="H46" i="2" s="1"/>
  <c r="H31" i="4"/>
  <c r="G31" i="4"/>
  <c r="F31" i="4"/>
  <c r="E31" i="4"/>
  <c r="D31" i="4"/>
  <c r="D11" i="4"/>
  <c r="E11" i="4" s="1"/>
  <c r="F11" i="4" s="1"/>
  <c r="G11" i="4" s="1"/>
  <c r="H11" i="4" s="1"/>
  <c r="E14" i="4"/>
  <c r="F14" i="4" s="1"/>
  <c r="G14" i="4" s="1"/>
  <c r="H14" i="4" s="1"/>
  <c r="D18" i="2"/>
  <c r="D12" i="2"/>
  <c r="D13" i="2"/>
  <c r="I70" i="2"/>
  <c r="I65" i="2"/>
  <c r="I44" i="2"/>
  <c r="I43" i="2"/>
  <c r="D23" i="2"/>
  <c r="D30" i="2" s="1"/>
  <c r="D67" i="2"/>
  <c r="D36" i="2"/>
  <c r="E36" i="2" s="1"/>
  <c r="F36" i="2" s="1"/>
  <c r="G36" i="2" s="1"/>
  <c r="H36" i="2" s="1"/>
  <c r="I46" i="2" l="1"/>
  <c r="I11" i="4"/>
  <c r="C61" i="2"/>
  <c r="C60" i="2"/>
  <c r="H57" i="2" l="1"/>
  <c r="D57" i="2"/>
  <c r="I14" i="4"/>
  <c r="D29" i="4"/>
  <c r="E29" i="4"/>
  <c r="E57" i="2"/>
  <c r="F57" i="2"/>
  <c r="G57" i="2"/>
  <c r="I57" i="2" l="1"/>
  <c r="C55" i="2"/>
  <c r="C54" i="2"/>
  <c r="D38" i="2"/>
  <c r="E67" i="2"/>
  <c r="E18" i="2"/>
  <c r="F18" i="2" s="1"/>
  <c r="G18" i="2" s="1"/>
  <c r="H18" i="2" s="1"/>
  <c r="E12" i="2"/>
  <c r="F12" i="2" s="1"/>
  <c r="G12" i="2" s="1"/>
  <c r="H12" i="2" s="1"/>
  <c r="I64" i="2"/>
  <c r="D50" i="2" l="1"/>
  <c r="F67" i="2"/>
  <c r="G67" i="2" s="1"/>
  <c r="H67" i="2" s="1"/>
  <c r="F29" i="4"/>
  <c r="H50" i="2"/>
  <c r="D26" i="2"/>
  <c r="E50" i="2"/>
  <c r="E23" i="2"/>
  <c r="E30" i="2" s="1"/>
  <c r="E13" i="2"/>
  <c r="F13" i="2" s="1"/>
  <c r="G13" i="2" s="1"/>
  <c r="I18" i="2"/>
  <c r="F50" i="2"/>
  <c r="I12" i="2"/>
  <c r="G50" i="2"/>
  <c r="I50" i="2" l="1"/>
  <c r="I67" i="2"/>
  <c r="G29" i="4"/>
  <c r="H29" i="4"/>
  <c r="D29" i="2"/>
  <c r="D31" i="2" s="1"/>
  <c r="D40" i="2" s="1"/>
  <c r="D73" i="2" s="1"/>
  <c r="F23" i="2"/>
  <c r="E26" i="2"/>
  <c r="E38" i="2"/>
  <c r="H13" i="2"/>
  <c r="I29" i="4" l="1"/>
  <c r="E29" i="2"/>
  <c r="E31" i="2" s="1"/>
  <c r="E40" i="2" s="1"/>
  <c r="E73" i="2" s="1"/>
  <c r="F26" i="2"/>
  <c r="F29" i="2" s="1"/>
  <c r="F30" i="2"/>
  <c r="G23" i="2"/>
  <c r="H23" i="2"/>
  <c r="F38" i="2"/>
  <c r="I13" i="2"/>
  <c r="F31" i="2" l="1"/>
  <c r="D81" i="2"/>
  <c r="E81" i="2" s="1"/>
  <c r="I76" i="2"/>
  <c r="D78" i="2"/>
  <c r="D82" i="2"/>
  <c r="F40" i="2"/>
  <c r="F73" i="2" s="1"/>
  <c r="H26" i="2"/>
  <c r="H29" i="2" s="1"/>
  <c r="H30" i="2"/>
  <c r="G26" i="2"/>
  <c r="G29" i="2" s="1"/>
  <c r="G30" i="2"/>
  <c r="I30" i="2" s="1"/>
  <c r="E82" i="2"/>
  <c r="I23" i="2"/>
  <c r="I26" i="2" s="1"/>
  <c r="G38" i="2"/>
  <c r="H38" i="2"/>
  <c r="H31" i="2" l="1"/>
  <c r="I29" i="2"/>
  <c r="D83" i="2"/>
  <c r="D85" i="2" s="1"/>
  <c r="G31" i="2"/>
  <c r="H40" i="2"/>
  <c r="H73" i="2" s="1"/>
  <c r="G40" i="2"/>
  <c r="G73" i="2" s="1"/>
  <c r="I77" i="2" s="1"/>
  <c r="F78" i="2"/>
  <c r="F82" i="2"/>
  <c r="F81" i="2"/>
  <c r="E83" i="2"/>
  <c r="E85" i="2" s="1"/>
  <c r="E78" i="2"/>
  <c r="I31" i="2"/>
  <c r="I36" i="2"/>
  <c r="I38" i="2" s="1"/>
  <c r="I31" i="4" l="1"/>
  <c r="G82" i="2"/>
  <c r="I40" i="2"/>
  <c r="I73" i="2" s="1"/>
  <c r="G81" i="2"/>
  <c r="F83" i="2"/>
  <c r="F85" i="2" s="1"/>
  <c r="H78" i="2"/>
  <c r="H82" i="2"/>
  <c r="I82" i="2" s="1"/>
  <c r="G78" i="2"/>
  <c r="I78" i="2" l="1"/>
  <c r="H81" i="2"/>
  <c r="H83" i="2" s="1"/>
  <c r="H85" i="2" s="1"/>
  <c r="G83" i="2"/>
  <c r="G85" i="2" s="1"/>
  <c r="I85" i="2" l="1"/>
  <c r="I81" i="2"/>
  <c r="I83" i="2" s="1"/>
</calcChain>
</file>

<file path=xl/sharedStrings.xml><?xml version="1.0" encoding="utf-8"?>
<sst xmlns="http://schemas.openxmlformats.org/spreadsheetml/2006/main" count="145" uniqueCount="100">
  <si>
    <t>For USC Internal Use Only</t>
  </si>
  <si>
    <t>Rates</t>
  </si>
  <si>
    <t>Principal Investigator</t>
  </si>
  <si>
    <t>Total</t>
  </si>
  <si>
    <t>Total Direct Costs</t>
  </si>
  <si>
    <t>Co-Principal Investigator</t>
  </si>
  <si>
    <t>SALARIES</t>
  </si>
  <si>
    <t>5% effort, 12 months</t>
  </si>
  <si>
    <t>50% effort 1 summer month</t>
  </si>
  <si>
    <t>TOTAL SALARIES</t>
  </si>
  <si>
    <t>Total Compensation</t>
  </si>
  <si>
    <t>WAGES NOT SUBJECT TO FB</t>
  </si>
  <si>
    <t>Software additional supplies</t>
  </si>
  <si>
    <t>TRAVEL</t>
  </si>
  <si>
    <t>MATERIALS &amp; SUPPLIES</t>
  </si>
  <si>
    <t>Notes:</t>
  </si>
  <si>
    <t>Fringe Benefits</t>
  </si>
  <si>
    <t>Predetermined</t>
  </si>
  <si>
    <t>Provisional</t>
  </si>
  <si>
    <t>FRINGE BENEFITS</t>
  </si>
  <si>
    <t>Sally Trojan</t>
  </si>
  <si>
    <t>Cost Estimate:  National Science Foundation</t>
  </si>
  <si>
    <t>15% effort, 9 acad. Months</t>
  </si>
  <si>
    <t>Edward Bruin</t>
  </si>
  <si>
    <t>Post-Doc</t>
  </si>
  <si>
    <t>TBH</t>
  </si>
  <si>
    <t>Graduate Research Assistant</t>
  </si>
  <si>
    <t>PI:  Sally Trojan</t>
  </si>
  <si>
    <t>TUITION REMISSION</t>
  </si>
  <si>
    <t>SUBAWARD</t>
  </si>
  <si>
    <t>UCLA (first $25,000)</t>
  </si>
  <si>
    <t xml:space="preserve">UCLA </t>
  </si>
  <si>
    <t>F &amp; A Base (Total Direct Costs less equipment and tuition and only first $25,000 of Subaward)</t>
  </si>
  <si>
    <t>EQUIPMENT</t>
  </si>
  <si>
    <t>High powered microbe filtration</t>
  </si>
  <si>
    <t>TOTAL COST TO AGENCY</t>
  </si>
  <si>
    <t>Total Base</t>
  </si>
  <si>
    <t>TOTAL WAGES</t>
  </si>
  <si>
    <t>TOTAL FRINGE BENEFITS</t>
  </si>
  <si>
    <t>Faculty &amp; Staff Provisional</t>
  </si>
  <si>
    <t>For PI and co-PI to attend agency meeting in Washington DC</t>
  </si>
  <si>
    <t>Airfare per preson</t>
  </si>
  <si>
    <t>Per Diem at $75/day/person for 4 days</t>
  </si>
  <si>
    <t>Meeting Registration per person</t>
  </si>
  <si>
    <t>Hotel 3 nights at $180/night/person</t>
  </si>
  <si>
    <t>50% effort, 12 months</t>
  </si>
  <si>
    <t>10/01/23 to 09/30/24</t>
  </si>
  <si>
    <t>10/01/24 to 09/30/25</t>
  </si>
  <si>
    <t>Post-doc hired  Provisional</t>
  </si>
  <si>
    <t>F&amp;A (INDIRECT COSTS)</t>
  </si>
  <si>
    <t>Facilities and Administration/Indirect Costs</t>
  </si>
  <si>
    <t>Facilities and Administration/Indirect Cost Rates apply:</t>
  </si>
  <si>
    <t>Total F&amp;A Costs</t>
  </si>
  <si>
    <t>10/01/25 to 09/30/26</t>
  </si>
  <si>
    <t>WD Object Class Code</t>
  </si>
  <si>
    <t>Personnel_Subject_to_FB</t>
  </si>
  <si>
    <t>Materials_Supplies</t>
  </si>
  <si>
    <t>Domestic_Travel</t>
  </si>
  <si>
    <t>Foreign_Travel</t>
  </si>
  <si>
    <t>For PI and co-PI to attend conference in Rome, Italy</t>
  </si>
  <si>
    <t>Tuition_Aid</t>
  </si>
  <si>
    <t>Equipment</t>
  </si>
  <si>
    <t>Facilities_and_Administration</t>
  </si>
  <si>
    <t>Postdoctoral Scholar Salary</t>
  </si>
  <si>
    <t>Graduate Assistant</t>
  </si>
  <si>
    <t>Faculty-Exempt Salary</t>
  </si>
  <si>
    <t>Fringe_Benefits</t>
  </si>
  <si>
    <t>Subaward (SC0600)</t>
  </si>
  <si>
    <t>An annual 4% increase was given to the GRA beginning August 16, 2024.</t>
  </si>
  <si>
    <t>10/01/26 to 09/30/27</t>
  </si>
  <si>
    <t xml:space="preserve">Base Salary 23-24:  $80,000/12 </t>
  </si>
  <si>
    <t>Personnel_Not_Subject_to_FB</t>
  </si>
  <si>
    <t>Publication</t>
  </si>
  <si>
    <t>Conference_Registration (SC0317)</t>
  </si>
  <si>
    <t>07/01/23 - Future</t>
  </si>
  <si>
    <t>Research Period October 1, 2023 to September  30, 2028</t>
  </si>
  <si>
    <t>10/01/27 to 09/30/28</t>
  </si>
  <si>
    <t xml:space="preserve">  FY 24 &amp; Future Postdoc</t>
  </si>
  <si>
    <t xml:space="preserve">  FY 24 &amp; Future</t>
  </si>
  <si>
    <t>F &amp; A Base FY 24</t>
  </si>
  <si>
    <t>F &amp; A Base FY 25 &amp; Future</t>
  </si>
  <si>
    <t>An annual 4% increase was given to the 12 post-doc beginning July 1, 2024.</t>
  </si>
  <si>
    <t>An annual 4% increase was added to the Tuition beginning August 16, 2024.</t>
  </si>
  <si>
    <t xml:space="preserve">Per the Federal Rate Agreement from February 8, 2023 the following Fringe Benefit and </t>
  </si>
  <si>
    <t>07/01/23 - 06/30/2024</t>
  </si>
  <si>
    <t>07/01/24 - Future</t>
  </si>
  <si>
    <t>Base Salary 23-24:  $160,000/9</t>
  </si>
  <si>
    <t>Base Salary 23-24:  $115,000/12</t>
  </si>
  <si>
    <t>Base Salary 23-24:  $75,000/12</t>
  </si>
  <si>
    <t>An annual 4% increase was given to the 9 month faculty beginning August 16, 2024.</t>
  </si>
  <si>
    <t>An annual 4% increase was given to the 12 month faculty beginning July 1, 2024.</t>
  </si>
  <si>
    <t>100% effort, 12  months</t>
  </si>
  <si>
    <t>FY 24-6 units/year/RA @ $2,424/unit</t>
  </si>
  <si>
    <t>PARTICIPANT SUPPORT</t>
  </si>
  <si>
    <t>20 PARTICIPANTS - to attend Workshop</t>
  </si>
  <si>
    <t>Bus transportation</t>
  </si>
  <si>
    <t>Stipends</t>
  </si>
  <si>
    <t>250 per participant</t>
  </si>
  <si>
    <t>Stipends - 20 Particpants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</si>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</sst>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1" fillId="0" borderId="0" xfId="1" applyNumberFormat="1"/>
    <xf numFmtId="164" fontId="0" fillId="0" borderId="1" xfId="1" applyNumberFormat="1" applyFont="1" applyBorder="1"/>
    <xf numFmtId="0" fontId="4" fillId="0" borderId="0" xfId="0" applyFont="1"/>
    <xf numFmtId="164" fontId="2" fillId="0" borderId="2" xfId="1" applyNumberFormat="1" applyFont="1" applyBorder="1"/>
    <xf numFmtId="0" fontId="3" fillId="0" borderId="0" xfId="0" applyFont="1"/>
    <xf numFmtId="164" fontId="1" fillId="0" borderId="1" xfId="1" applyNumberFormat="1" applyBorder="1"/>
    <xf numFmtId="0" fontId="0" fillId="0" borderId="0" xfId="0" applyAlignment="1">
      <alignment wrapText="1"/>
    </xf>
    <xf numFmtId="164" fontId="2" fillId="0" borderId="3" xfId="1" applyNumberFormat="1" applyFont="1" applyBorder="1" applyAlignment="1">
      <alignment horizontal="center" wrapText="1"/>
    </xf>
    <xf numFmtId="164" fontId="0" fillId="0" borderId="0" xfId="1" applyNumberFormat="1" applyFont="1" applyBorder="1"/>
    <xf numFmtId="0" fontId="3" fillId="0" borderId="3" xfId="0" applyFont="1" applyBorder="1" applyAlignment="1">
      <alignment wrapText="1"/>
    </xf>
    <xf numFmtId="0" fontId="5" fillId="0" borderId="0" xfId="0" applyFont="1"/>
    <xf numFmtId="43" fontId="1" fillId="0" borderId="0" xfId="1"/>
    <xf numFmtId="10" fontId="6" fillId="2" borderId="0" xfId="2" applyNumberFormat="1" applyFont="1" applyFill="1"/>
    <xf numFmtId="0" fontId="6" fillId="0" borderId="0" xfId="0" applyFont="1"/>
    <xf numFmtId="164" fontId="6" fillId="3" borderId="0" xfId="1" applyNumberFormat="1" applyFont="1" applyFill="1" applyBorder="1"/>
    <xf numFmtId="164" fontId="3" fillId="0" borderId="1" xfId="1" applyNumberFormat="1" applyFont="1" applyBorder="1"/>
    <xf numFmtId="0" fontId="3" fillId="0" borderId="0" xfId="0" applyFont="1" applyAlignment="1">
      <alignment wrapText="1"/>
    </xf>
    <xf numFmtId="164" fontId="2" fillId="0" borderId="0" xfId="1" applyNumberFormat="1" applyFont="1" applyBorder="1" applyAlignment="1">
      <alignment horizontal="center" wrapText="1"/>
    </xf>
    <xf numFmtId="10" fontId="5" fillId="0" borderId="0" xfId="2" applyNumberFormat="1" applyFont="1" applyAlignment="1"/>
    <xf numFmtId="10" fontId="5" fillId="0" borderId="0" xfId="2" applyNumberFormat="1" applyFont="1"/>
    <xf numFmtId="10" fontId="6" fillId="0" borderId="0" xfId="2" applyNumberFormat="1" applyFont="1"/>
    <xf numFmtId="10" fontId="6" fillId="0" borderId="3" xfId="2" applyNumberFormat="1" applyFont="1" applyBorder="1" applyAlignment="1">
      <alignment wrapText="1"/>
    </xf>
    <xf numFmtId="10" fontId="6" fillId="0" borderId="0" xfId="2" applyNumberFormat="1" applyFont="1" applyBorder="1" applyAlignment="1">
      <alignment wrapText="1"/>
    </xf>
    <xf numFmtId="10" fontId="6" fillId="3" borderId="0" xfId="2" applyNumberFormat="1" applyFont="1" applyFill="1"/>
    <xf numFmtId="10" fontId="7" fillId="0" borderId="0" xfId="2" applyNumberFormat="1" applyFont="1"/>
    <xf numFmtId="0" fontId="8" fillId="0" borderId="0" xfId="0" applyFont="1"/>
    <xf numFmtId="10" fontId="9" fillId="0" borderId="0" xfId="2" applyNumberFormat="1" applyFont="1"/>
    <xf numFmtId="0" fontId="10" fillId="0" borderId="0" xfId="0" applyFont="1"/>
    <xf numFmtId="164" fontId="11" fillId="0" borderId="0" xfId="1" applyNumberFormat="1" applyFont="1" applyBorder="1" applyAlignment="1">
      <alignment horizontal="center" wrapText="1"/>
    </xf>
    <xf numFmtId="0" fontId="11" fillId="0" borderId="0" xfId="0" applyFont="1"/>
    <xf numFmtId="0" fontId="2" fillId="0" borderId="0" xfId="0" applyFont="1" applyAlignment="1">
      <alignment wrapText="1"/>
    </xf>
    <xf numFmtId="164" fontId="11" fillId="0" borderId="0" xfId="1" applyNumberFormat="1" applyFont="1"/>
    <xf numFmtId="164" fontId="11" fillId="0" borderId="3" xfId="1" applyNumberFormat="1" applyFont="1" applyBorder="1"/>
    <xf numFmtId="0" fontId="1" fillId="0" borderId="0" xfId="0" applyFont="1"/>
    <xf numFmtId="0" fontId="12" fillId="0" borderId="0" xfId="0" applyFont="1"/>
    <xf numFmtId="0" fontId="13" fillId="0" borderId="0" xfId="0" applyFont="1"/>
    <xf numFmtId="10" fontId="6" fillId="0" borderId="0" xfId="2" applyNumberFormat="1" applyFont="1" applyFill="1"/>
    <xf numFmtId="0" fontId="3" fillId="0" borderId="0" xfId="0" applyFont="1" applyAlignment="1">
      <alignment horizontal="left" indent="1"/>
    </xf>
    <xf numFmtId="164" fontId="6" fillId="0" borderId="1" xfId="1" applyNumberFormat="1" applyFont="1" applyFill="1" applyBorder="1"/>
    <xf numFmtId="164" fontId="11" fillId="0" borderId="1" xfId="1" applyNumberFormat="1" applyFont="1" applyBorder="1"/>
    <xf numFmtId="164" fontId="14" fillId="0" borderId="0" xfId="1" applyNumberFormat="1" applyFont="1"/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164" fontId="2" fillId="0" borderId="3" xfId="1" quotePrefix="1" applyNumberFormat="1" applyFont="1" applyBorder="1" applyAlignment="1">
      <alignment horizontal="center" wrapText="1"/>
    </xf>
    <xf numFmtId="0" fontId="4" fillId="0" borderId="0" xfId="0" quotePrefix="1" applyFont="1" applyAlignment="1">
      <alignment horizontal="left"/>
    </xf>
    <xf numFmtId="2" fontId="4" fillId="0" borderId="0" xfId="2" applyNumberFormat="1" applyFont="1"/>
    <xf numFmtId="0" fontId="3" fillId="3" borderId="0" xfId="0" quotePrefix="1" applyFont="1" applyFill="1" applyAlignment="1">
      <alignment horizontal="left" indent="1"/>
    </xf>
    <xf numFmtId="0" fontId="0" fillId="0" borderId="0" xfId="0" quotePrefix="1" applyAlignment="1">
      <alignment horizontal="left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left"/>
    </xf>
    <xf numFmtId="0" fontId="3" fillId="0" borderId="0" xfId="0" applyFont="1" applyBorder="1" applyAlignment="1">
      <alignment wrapText="1"/>
    </xf>
    <xf numFmtId="164" fontId="2" fillId="0" borderId="0" xfId="1" quotePrefix="1" applyNumberFormat="1" applyFont="1" applyBorder="1" applyAlignment="1">
      <alignment horizontal="center" wrapText="1"/>
    </xf>
    <xf numFmtId="164" fontId="7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3"/>
  <sheetViews>
    <sheetView tabSelected="1" zoomScale="120" zoomScaleNormal="120" workbookViewId="0">
      <pane ySplit="7" topLeftCell="A46" activePane="bottomLeft" state="frozen"/>
      <selection pane="bottomLeft" activeCell="F73" sqref="F73"/>
    </sheetView>
  </sheetViews>
  <sheetFormatPr baseColWidth="10" defaultColWidth="11.5" defaultRowHeight="13" x14ac:dyDescent="0.15"/>
  <cols>
    <col min="1" max="1" width="14.6640625" style="9" customWidth="1"/>
    <col min="2" max="2" width="28.5" customWidth="1"/>
    <col min="3" max="3" width="8.83203125" style="23" customWidth="1"/>
    <col min="4" max="4" width="11.6640625" customWidth="1"/>
    <col min="5" max="5" width="12" customWidth="1"/>
    <col min="6" max="6" width="12.33203125" customWidth="1"/>
    <col min="7" max="7" width="13.6640625" customWidth="1"/>
    <col min="8" max="8" width="13.1640625" customWidth="1"/>
    <col min="9" max="9" width="15.6640625" customWidth="1"/>
    <col min="10" max="10" width="9.1640625" customWidth="1"/>
  </cols>
  <sheetData>
    <row r="1" spans="1:9" s="30" customFormat="1" ht="16" x14ac:dyDescent="0.2">
      <c r="A1" s="51"/>
      <c r="B1" s="28" t="s">
        <v>0</v>
      </c>
      <c r="C1" s="29"/>
    </row>
    <row r="3" spans="1:9" x14ac:dyDescent="0.15">
      <c r="B3" s="1" t="s">
        <v>21</v>
      </c>
      <c r="C3" s="21"/>
    </row>
    <row r="4" spans="1:9" x14ac:dyDescent="0.15">
      <c r="B4" s="1" t="s">
        <v>27</v>
      </c>
      <c r="C4" s="22"/>
      <c r="D4" s="3"/>
      <c r="E4" s="3"/>
      <c r="F4" s="3"/>
      <c r="G4" s="3"/>
      <c r="H4" s="3"/>
      <c r="I4" s="3"/>
    </row>
    <row r="5" spans="1:9" x14ac:dyDescent="0.15">
      <c r="B5" s="45" t="s">
        <v>75</v>
      </c>
      <c r="C5" s="21"/>
      <c r="I5" s="3"/>
    </row>
    <row r="6" spans="1:9" x14ac:dyDescent="0.15">
      <c r="D6" s="2"/>
      <c r="E6" s="2"/>
      <c r="F6" s="2"/>
      <c r="G6" s="2"/>
      <c r="H6" s="2"/>
      <c r="I6" s="2"/>
    </row>
    <row r="7" spans="1:9" s="9" customFormat="1" ht="28" x14ac:dyDescent="0.15">
      <c r="A7" s="9" t="s">
        <v>54</v>
      </c>
      <c r="B7" s="12"/>
      <c r="C7" s="24" t="s">
        <v>1</v>
      </c>
      <c r="D7" s="46" t="s">
        <v>46</v>
      </c>
      <c r="E7" s="46" t="s">
        <v>47</v>
      </c>
      <c r="F7" s="46" t="s">
        <v>53</v>
      </c>
      <c r="G7" s="46" t="s">
        <v>69</v>
      </c>
      <c r="H7" s="46" t="s">
        <v>76</v>
      </c>
      <c r="I7" s="10" t="s">
        <v>3</v>
      </c>
    </row>
    <row r="8" spans="1:9" s="9" customFormat="1" ht="28" x14ac:dyDescent="0.15">
      <c r="A8" s="9" t="s">
        <v>55</v>
      </c>
      <c r="B8" s="33" t="s">
        <v>6</v>
      </c>
      <c r="C8" s="25"/>
      <c r="D8" s="20"/>
      <c r="E8" s="20"/>
      <c r="F8" s="20"/>
      <c r="G8" s="20"/>
      <c r="H8" s="20"/>
      <c r="I8" s="20"/>
    </row>
    <row r="9" spans="1:9" s="9" customFormat="1" x14ac:dyDescent="0.15">
      <c r="B9" s="19"/>
      <c r="C9" s="25"/>
      <c r="D9" s="20"/>
      <c r="E9" s="20"/>
      <c r="F9" s="20"/>
      <c r="G9" s="20"/>
      <c r="H9" s="20"/>
      <c r="I9" s="20"/>
    </row>
    <row r="10" spans="1:9" s="9" customFormat="1" ht="28" x14ac:dyDescent="0.15">
      <c r="A10" s="9" t="s">
        <v>65</v>
      </c>
      <c r="B10" s="32" t="s">
        <v>2</v>
      </c>
      <c r="C10" s="25"/>
      <c r="D10" s="20"/>
      <c r="E10" s="20"/>
      <c r="F10" s="20"/>
      <c r="G10" s="20"/>
      <c r="H10" s="20"/>
      <c r="I10" s="20"/>
    </row>
    <row r="11" spans="1:9" s="9" customFormat="1" x14ac:dyDescent="0.15">
      <c r="B11" t="s">
        <v>20</v>
      </c>
      <c r="C11" s="25"/>
      <c r="D11" s="20"/>
      <c r="E11" s="20"/>
      <c r="F11" s="20"/>
      <c r="G11" s="20"/>
      <c r="H11" s="20"/>
      <c r="I11" s="20"/>
    </row>
    <row r="12" spans="1:9" s="9" customFormat="1" x14ac:dyDescent="0.15">
      <c r="B12" t="s">
        <v>22</v>
      </c>
      <c r="C12" s="25"/>
      <c r="D12" s="31">
        <f>SUM((160000/9*7.5)+(160000*1.04/9*1.5))*15%</f>
        <v>24160.000000000004</v>
      </c>
      <c r="E12" s="31">
        <f t="shared" ref="E12:H13" si="0">SUM(D12*1.04)</f>
        <v>25126.400000000005</v>
      </c>
      <c r="F12" s="31">
        <f t="shared" si="0"/>
        <v>26131.456000000006</v>
      </c>
      <c r="G12" s="31">
        <f t="shared" si="0"/>
        <v>27176.714240000008</v>
      </c>
      <c r="H12" s="31">
        <f t="shared" si="0"/>
        <v>28263.782809600008</v>
      </c>
      <c r="I12" s="31">
        <f>SUM(D12:H12)</f>
        <v>130858.35304960003</v>
      </c>
    </row>
    <row r="13" spans="1:9" s="9" customFormat="1" x14ac:dyDescent="0.15">
      <c r="B13" t="s">
        <v>8</v>
      </c>
      <c r="C13" s="25"/>
      <c r="D13" s="31">
        <f>SUM(160000/9)*50%</f>
        <v>8888.8888888888887</v>
      </c>
      <c r="E13" s="31">
        <f t="shared" si="0"/>
        <v>9244.4444444444453</v>
      </c>
      <c r="F13" s="31">
        <f t="shared" si="0"/>
        <v>9614.2222222222226</v>
      </c>
      <c r="G13" s="31">
        <f t="shared" si="0"/>
        <v>9998.7911111111116</v>
      </c>
      <c r="H13" s="31">
        <f t="shared" si="0"/>
        <v>10398.742755555557</v>
      </c>
      <c r="I13" s="31">
        <f>SUM(D13:H13)</f>
        <v>48145.089422222227</v>
      </c>
    </row>
    <row r="14" spans="1:9" s="9" customFormat="1" x14ac:dyDescent="0.15">
      <c r="B14" s="55" t="s">
        <v>86</v>
      </c>
      <c r="C14" s="25"/>
      <c r="D14" s="20"/>
      <c r="E14" s="20"/>
      <c r="F14" s="20"/>
      <c r="G14" s="20"/>
      <c r="H14" s="20"/>
      <c r="I14" s="20"/>
    </row>
    <row r="15" spans="1:9" s="9" customFormat="1" x14ac:dyDescent="0.15">
      <c r="B15" s="19"/>
      <c r="C15" s="25"/>
      <c r="D15" s="20"/>
      <c r="E15" s="20"/>
      <c r="F15" s="20"/>
      <c r="G15" s="20"/>
      <c r="H15" s="20"/>
      <c r="I15" s="20"/>
    </row>
    <row r="16" spans="1:9" ht="28" x14ac:dyDescent="0.15">
      <c r="A16" s="9" t="s">
        <v>65</v>
      </c>
      <c r="B16" t="s">
        <v>5</v>
      </c>
      <c r="D16" s="3"/>
      <c r="E16" s="3"/>
      <c r="F16" s="3"/>
      <c r="G16" s="3"/>
      <c r="H16" s="3"/>
      <c r="I16" s="3"/>
    </row>
    <row r="17" spans="1:9" s="32" customFormat="1" x14ac:dyDescent="0.15">
      <c r="A17" s="52"/>
      <c r="B17" s="32" t="s">
        <v>23</v>
      </c>
      <c r="C17" s="23"/>
      <c r="D17" s="34"/>
      <c r="E17" s="34"/>
      <c r="F17" s="34"/>
      <c r="G17" s="34"/>
      <c r="H17" s="34"/>
      <c r="I17" s="34"/>
    </row>
    <row r="18" spans="1:9" s="32" customFormat="1" x14ac:dyDescent="0.15">
      <c r="A18" s="52"/>
      <c r="B18" s="32" t="s">
        <v>7</v>
      </c>
      <c r="C18" s="23"/>
      <c r="D18" s="34">
        <f>SUM((115000/12*9)+(115000*1.04/12*3))*5%</f>
        <v>5807.5</v>
      </c>
      <c r="E18" s="31">
        <f>SUM(D18*1.04)</f>
        <v>6039.8</v>
      </c>
      <c r="F18" s="31">
        <f>SUM(E18*1.04)</f>
        <v>6281.3920000000007</v>
      </c>
      <c r="G18" s="31">
        <f>SUM(F18*1.04)</f>
        <v>6532.6476800000009</v>
      </c>
      <c r="H18" s="31">
        <f>SUM(G18*1.04)</f>
        <v>6793.9535872000015</v>
      </c>
      <c r="I18" s="31">
        <f>SUM(D18:H18)</f>
        <v>31455.293267200002</v>
      </c>
    </row>
    <row r="19" spans="1:9" s="32" customFormat="1" x14ac:dyDescent="0.15">
      <c r="A19" s="52"/>
      <c r="B19" s="55" t="s">
        <v>87</v>
      </c>
      <c r="C19" s="23"/>
      <c r="D19" s="34"/>
      <c r="E19" s="34"/>
      <c r="F19" s="34"/>
      <c r="G19" s="34"/>
      <c r="H19" s="34"/>
      <c r="I19" s="34"/>
    </row>
    <row r="20" spans="1:9" s="32" customFormat="1" x14ac:dyDescent="0.15">
      <c r="A20" s="52"/>
      <c r="C20" s="23"/>
      <c r="D20" s="34"/>
      <c r="E20" s="34"/>
      <c r="F20" s="34"/>
      <c r="G20" s="34"/>
      <c r="H20" s="34"/>
      <c r="I20" s="34"/>
    </row>
    <row r="21" spans="1:9" s="32" customFormat="1" ht="28" x14ac:dyDescent="0.15">
      <c r="A21" s="19" t="s">
        <v>63</v>
      </c>
      <c r="B21" s="32" t="s">
        <v>24</v>
      </c>
      <c r="C21" s="23"/>
      <c r="D21" s="34"/>
      <c r="E21" s="34"/>
      <c r="F21" s="34"/>
      <c r="G21" s="34"/>
      <c r="H21" s="34"/>
      <c r="I21" s="34"/>
    </row>
    <row r="22" spans="1:9" s="32" customFormat="1" x14ac:dyDescent="0.15">
      <c r="A22" s="52"/>
      <c r="B22" s="32" t="s">
        <v>25</v>
      </c>
      <c r="C22" s="23"/>
      <c r="D22" s="34"/>
      <c r="E22" s="34"/>
      <c r="F22" s="34"/>
      <c r="G22" s="34"/>
      <c r="H22" s="34"/>
      <c r="I22" s="34"/>
    </row>
    <row r="23" spans="1:9" s="32" customFormat="1" x14ac:dyDescent="0.15">
      <c r="A23" s="52"/>
      <c r="B23" s="36" t="s">
        <v>91</v>
      </c>
      <c r="C23" s="23"/>
      <c r="D23" s="34">
        <f>SUM((75000/12*9)+(75000*1.04/12*3))</f>
        <v>75750</v>
      </c>
      <c r="E23" s="31">
        <f>SUM(D23*1.04)</f>
        <v>78780</v>
      </c>
      <c r="F23" s="31">
        <f>SUM(E23*1.04)</f>
        <v>81931.199999999997</v>
      </c>
      <c r="G23" s="31">
        <f>SUM(F23*1.04)</f>
        <v>85208.448000000004</v>
      </c>
      <c r="H23" s="31">
        <f>SUM(G23*1.04)</f>
        <v>88616.785920000009</v>
      </c>
      <c r="I23" s="31">
        <f>SUM(D23:H23)</f>
        <v>410286.43392000004</v>
      </c>
    </row>
    <row r="24" spans="1:9" s="32" customFormat="1" x14ac:dyDescent="0.15">
      <c r="A24" s="52"/>
      <c r="B24" s="44" t="s">
        <v>88</v>
      </c>
      <c r="C24" s="23"/>
      <c r="D24" s="34"/>
      <c r="E24" s="34"/>
      <c r="F24" s="34"/>
      <c r="G24" s="34"/>
      <c r="H24" s="34"/>
      <c r="I24" s="34"/>
    </row>
    <row r="25" spans="1:9" s="32" customFormat="1" x14ac:dyDescent="0.15">
      <c r="A25" s="52"/>
      <c r="C25" s="23"/>
      <c r="D25" s="35"/>
      <c r="E25" s="35"/>
      <c r="F25" s="35"/>
      <c r="G25" s="35"/>
      <c r="H25" s="35"/>
      <c r="I25" s="35"/>
    </row>
    <row r="26" spans="1:9" s="32" customFormat="1" x14ac:dyDescent="0.15">
      <c r="A26" s="52"/>
      <c r="B26" s="1" t="s">
        <v>9</v>
      </c>
      <c r="C26" s="23"/>
      <c r="D26" s="34">
        <f t="shared" ref="D26:I26" si="1">SUM(D8:D25)</f>
        <v>114606.38888888889</v>
      </c>
      <c r="E26" s="34">
        <f t="shared" si="1"/>
        <v>119190.64444444445</v>
      </c>
      <c r="F26" s="34">
        <f t="shared" si="1"/>
        <v>123958.27022222223</v>
      </c>
      <c r="G26" s="34">
        <f t="shared" si="1"/>
        <v>128916.60103111112</v>
      </c>
      <c r="H26" s="34">
        <f t="shared" si="1"/>
        <v>134073.26507235557</v>
      </c>
      <c r="I26" s="34">
        <f t="shared" si="1"/>
        <v>620745.16965902224</v>
      </c>
    </row>
    <row r="27" spans="1:9" s="32" customFormat="1" x14ac:dyDescent="0.15">
      <c r="A27" s="52"/>
      <c r="C27" s="23"/>
      <c r="D27" s="34"/>
      <c r="E27" s="34"/>
      <c r="F27" s="34"/>
      <c r="G27" s="34"/>
      <c r="H27" s="34"/>
      <c r="I27" s="34"/>
    </row>
    <row r="28" spans="1:9" ht="14" x14ac:dyDescent="0.15">
      <c r="A28" s="9" t="s">
        <v>66</v>
      </c>
      <c r="B28" s="1" t="s">
        <v>19</v>
      </c>
      <c r="D28" s="2"/>
      <c r="E28" s="2"/>
      <c r="F28" s="2"/>
      <c r="G28" s="2"/>
      <c r="H28" s="2"/>
      <c r="I28" s="3"/>
    </row>
    <row r="29" spans="1:9" x14ac:dyDescent="0.15">
      <c r="B29" s="44" t="s">
        <v>78</v>
      </c>
      <c r="C29" s="22">
        <v>0.34300000000000003</v>
      </c>
      <c r="D29" s="2">
        <f>SUM(D26-D23)*C29</f>
        <v>13327.741388888891</v>
      </c>
      <c r="E29" s="2">
        <f>(E26-E23)*C29</f>
        <v>13860.851044444447</v>
      </c>
      <c r="F29" s="2">
        <f>(F26-F23)*C29</f>
        <v>14415.285086222226</v>
      </c>
      <c r="G29" s="2">
        <f>(G26-G23)*C29</f>
        <v>14991.896489671113</v>
      </c>
      <c r="H29" s="2">
        <f>(H26-H23)*C29</f>
        <v>15591.572349257958</v>
      </c>
      <c r="I29" s="3">
        <f>SUM(D29:H29)</f>
        <v>72187.346358484632</v>
      </c>
    </row>
    <row r="30" spans="1:9" x14ac:dyDescent="0.15">
      <c r="A30" s="53"/>
      <c r="B30" s="44" t="s">
        <v>77</v>
      </c>
      <c r="C30" s="22">
        <v>0.245</v>
      </c>
      <c r="D30" s="2">
        <f>D23*C30</f>
        <v>18558.75</v>
      </c>
      <c r="E30" s="2">
        <f>E23*C30</f>
        <v>19301.099999999999</v>
      </c>
      <c r="F30" s="2">
        <f>F23*C30</f>
        <v>20073.144</v>
      </c>
      <c r="G30" s="2">
        <f>G23*C30</f>
        <v>20876.069760000002</v>
      </c>
      <c r="H30" s="2">
        <f>H23*C30</f>
        <v>21711.112550400001</v>
      </c>
      <c r="I30" s="3">
        <f>SUM(D30:H30)</f>
        <v>100520.17631040001</v>
      </c>
    </row>
    <row r="31" spans="1:9" x14ac:dyDescent="0.15">
      <c r="A31" s="53"/>
      <c r="B31" s="1" t="s">
        <v>38</v>
      </c>
      <c r="C31" s="22"/>
      <c r="D31" s="4">
        <f t="shared" ref="D31:I31" si="2">SUM(D28:D30)</f>
        <v>31886.491388888891</v>
      </c>
      <c r="E31" s="4">
        <f t="shared" si="2"/>
        <v>33161.951044444446</v>
      </c>
      <c r="F31" s="4">
        <f t="shared" si="2"/>
        <v>34488.429086222226</v>
      </c>
      <c r="G31" s="4">
        <f t="shared" si="2"/>
        <v>35867.966249671117</v>
      </c>
      <c r="H31" s="4">
        <f t="shared" si="2"/>
        <v>37302.684899657957</v>
      </c>
      <c r="I31" s="4">
        <f t="shared" si="2"/>
        <v>172707.52266888466</v>
      </c>
    </row>
    <row r="32" spans="1:9" x14ac:dyDescent="0.15">
      <c r="C32" s="22"/>
      <c r="D32" s="2"/>
      <c r="E32" s="2"/>
      <c r="F32" s="2"/>
      <c r="G32" s="2"/>
      <c r="H32" s="2"/>
      <c r="I32" s="3"/>
    </row>
    <row r="33" spans="1:9" ht="28" x14ac:dyDescent="0.15">
      <c r="A33" s="9" t="s">
        <v>71</v>
      </c>
      <c r="B33" s="1" t="s">
        <v>11</v>
      </c>
      <c r="C33" s="22"/>
      <c r="D33" s="2"/>
      <c r="E33" s="2"/>
      <c r="F33" s="2"/>
      <c r="G33" s="2"/>
      <c r="H33" s="2"/>
      <c r="I33" s="3"/>
    </row>
    <row r="34" spans="1:9" x14ac:dyDescent="0.15">
      <c r="B34" s="1"/>
      <c r="C34" s="22"/>
      <c r="D34" s="2"/>
      <c r="E34" s="2"/>
      <c r="F34" s="2"/>
      <c r="G34" s="2"/>
      <c r="H34" s="2"/>
      <c r="I34" s="3"/>
    </row>
    <row r="35" spans="1:9" s="32" customFormat="1" ht="28" x14ac:dyDescent="0.15">
      <c r="A35" s="9" t="s">
        <v>64</v>
      </c>
      <c r="B35" s="32" t="s">
        <v>26</v>
      </c>
      <c r="C35" s="23"/>
      <c r="D35" s="34"/>
      <c r="E35" s="34"/>
      <c r="F35" s="34"/>
      <c r="G35" s="34"/>
      <c r="H35" s="34"/>
      <c r="I35" s="34"/>
    </row>
    <row r="36" spans="1:9" s="32" customFormat="1" x14ac:dyDescent="0.15">
      <c r="A36" s="52"/>
      <c r="B36" s="7" t="s">
        <v>45</v>
      </c>
      <c r="C36" s="23"/>
      <c r="D36" s="31">
        <f>SUM((80000/12*10.5)+(80000*1.04/12*1.5))*50%</f>
        <v>40200</v>
      </c>
      <c r="E36" s="31">
        <f>D36*1.04</f>
        <v>41808</v>
      </c>
      <c r="F36" s="31">
        <f t="shared" ref="F36:H36" si="3">E36*1.04</f>
        <v>43480.32</v>
      </c>
      <c r="G36" s="31">
        <f t="shared" si="3"/>
        <v>45219.532800000001</v>
      </c>
      <c r="H36" s="31">
        <f t="shared" si="3"/>
        <v>47028.314112</v>
      </c>
      <c r="I36" s="31">
        <f>SUM(D36:H36)</f>
        <v>217736.16691199999</v>
      </c>
    </row>
    <row r="37" spans="1:9" s="32" customFormat="1" x14ac:dyDescent="0.15">
      <c r="A37" s="52"/>
      <c r="B37" s="44" t="s">
        <v>70</v>
      </c>
      <c r="C37" s="23"/>
      <c r="D37" s="34"/>
      <c r="E37" s="34"/>
      <c r="F37" s="34"/>
      <c r="G37" s="34"/>
      <c r="H37" s="34"/>
      <c r="I37" s="34"/>
    </row>
    <row r="38" spans="1:9" s="32" customFormat="1" x14ac:dyDescent="0.15">
      <c r="A38" s="52"/>
      <c r="B38" s="1" t="s">
        <v>37</v>
      </c>
      <c r="C38" s="23"/>
      <c r="D38" s="42">
        <f t="shared" ref="D38:I38" si="4">SUM(D33:D37)</f>
        <v>40200</v>
      </c>
      <c r="E38" s="42">
        <f t="shared" si="4"/>
        <v>41808</v>
      </c>
      <c r="F38" s="42">
        <f t="shared" si="4"/>
        <v>43480.32</v>
      </c>
      <c r="G38" s="42">
        <f t="shared" si="4"/>
        <v>45219.532800000001</v>
      </c>
      <c r="H38" s="42">
        <f t="shared" si="4"/>
        <v>47028.314112</v>
      </c>
      <c r="I38" s="42">
        <f t="shared" si="4"/>
        <v>217736.16691199999</v>
      </c>
    </row>
    <row r="39" spans="1:9" x14ac:dyDescent="0.15">
      <c r="D39" s="2"/>
      <c r="E39" s="2"/>
      <c r="F39" s="2"/>
      <c r="G39" s="2"/>
      <c r="H39" s="2"/>
      <c r="I39" s="3"/>
    </row>
    <row r="40" spans="1:9" s="7" customFormat="1" x14ac:dyDescent="0.15">
      <c r="A40" s="19"/>
      <c r="B40" s="7" t="s">
        <v>10</v>
      </c>
      <c r="C40" s="23"/>
      <c r="D40" s="18">
        <f>(D38+D31+D26)</f>
        <v>186692.88027777779</v>
      </c>
      <c r="E40" s="18">
        <f>(E38+E31+E26)</f>
        <v>194160.59548888891</v>
      </c>
      <c r="F40" s="18">
        <f>(F38+F31+F26)</f>
        <v>201927.01930844446</v>
      </c>
      <c r="G40" s="18">
        <f>(G38+G31+G26)</f>
        <v>210004.10008078223</v>
      </c>
      <c r="H40" s="18">
        <f>(H38+H31+H26)</f>
        <v>218404.26408401353</v>
      </c>
      <c r="I40" s="18">
        <f>(I38+I31+I26)</f>
        <v>1011188.8592399069</v>
      </c>
    </row>
    <row r="41" spans="1:9" x14ac:dyDescent="0.15">
      <c r="B41" s="13"/>
      <c r="C41" s="22"/>
      <c r="D41" s="14"/>
      <c r="E41" s="14"/>
      <c r="F41" s="14"/>
      <c r="G41" s="14"/>
      <c r="H41" s="14"/>
      <c r="I41" s="3"/>
    </row>
    <row r="42" spans="1:9" ht="28" x14ac:dyDescent="0.15">
      <c r="A42" s="9" t="s">
        <v>56</v>
      </c>
      <c r="B42" s="1" t="s">
        <v>14</v>
      </c>
      <c r="C42" s="22"/>
    </row>
    <row r="43" spans="1:9" x14ac:dyDescent="0.15">
      <c r="B43" s="5" t="s">
        <v>12</v>
      </c>
      <c r="C43" s="22"/>
      <c r="D43" s="3">
        <v>1500</v>
      </c>
      <c r="E43" s="3">
        <v>1500</v>
      </c>
      <c r="F43" s="3">
        <v>1500</v>
      </c>
      <c r="G43" s="3">
        <v>1500</v>
      </c>
      <c r="H43" s="3">
        <v>1500</v>
      </c>
      <c r="I43" s="3">
        <f>SUM(D43:H43)</f>
        <v>7500</v>
      </c>
    </row>
    <row r="44" spans="1:9" x14ac:dyDescent="0.15">
      <c r="B44" s="5" t="s">
        <v>72</v>
      </c>
      <c r="C44" s="27"/>
      <c r="D44" s="3">
        <v>1000</v>
      </c>
      <c r="E44" s="3">
        <v>1000</v>
      </c>
      <c r="F44" s="3">
        <v>1000</v>
      </c>
      <c r="G44" s="3">
        <v>1000</v>
      </c>
      <c r="H44" s="3">
        <v>1000</v>
      </c>
      <c r="I44" s="3">
        <f>SUM(D44:H44)</f>
        <v>5000</v>
      </c>
    </row>
    <row r="45" spans="1:9" x14ac:dyDescent="0.15">
      <c r="B45" s="5"/>
      <c r="C45" s="27"/>
      <c r="D45" s="3"/>
      <c r="E45" s="3"/>
      <c r="F45" s="3"/>
      <c r="G45" s="3"/>
      <c r="H45" s="3"/>
      <c r="I45" s="3"/>
    </row>
    <row r="46" spans="1:9" x14ac:dyDescent="0.15">
      <c r="B46" s="5" t="s">
        <v>93</v>
      </c>
      <c r="C46" s="27"/>
      <c r="D46" s="3">
        <v>5700</v>
      </c>
      <c r="E46" s="3">
        <f>D46</f>
        <v>5700</v>
      </c>
      <c r="F46" s="3">
        <f t="shared" ref="F46:H46" si="5">E46</f>
        <v>5700</v>
      </c>
      <c r="G46" s="3">
        <f t="shared" si="5"/>
        <v>5700</v>
      </c>
      <c r="H46" s="3">
        <f t="shared" si="5"/>
        <v>5700</v>
      </c>
      <c r="I46" s="3">
        <f>SUM(D46:H46)</f>
        <v>28500</v>
      </c>
    </row>
    <row r="47" spans="1:9" x14ac:dyDescent="0.15">
      <c r="B47" s="5" t="s">
        <v>96</v>
      </c>
      <c r="C47" s="58">
        <v>5000</v>
      </c>
      <c r="D47" s="3"/>
      <c r="E47" s="3"/>
      <c r="F47" s="3"/>
      <c r="G47" s="3"/>
      <c r="H47" s="3"/>
      <c r="I47" s="3"/>
    </row>
    <row r="48" spans="1:9" x14ac:dyDescent="0.15">
      <c r="B48" s="5" t="s">
        <v>99</v>
      </c>
      <c r="C48" s="58">
        <v>700</v>
      </c>
      <c r="D48" s="3"/>
      <c r="E48" s="3"/>
      <c r="F48" s="3"/>
      <c r="G48" s="3"/>
      <c r="H48" s="3"/>
      <c r="I48" s="3"/>
    </row>
    <row r="49" spans="1:9" x14ac:dyDescent="0.15">
      <c r="B49" s="5"/>
      <c r="C49" s="27"/>
      <c r="D49" s="3"/>
      <c r="E49" s="3"/>
      <c r="F49" s="3"/>
      <c r="G49" s="3"/>
      <c r="H49" s="3"/>
      <c r="I49" s="3"/>
    </row>
    <row r="50" spans="1:9" x14ac:dyDescent="0.15">
      <c r="B50" s="1" t="s">
        <v>13</v>
      </c>
      <c r="C50" s="27"/>
      <c r="D50" s="3">
        <f>SUM(C52:C55)*2</f>
        <v>4180</v>
      </c>
      <c r="E50" s="3">
        <f>SUM(C52:C55)*2</f>
        <v>4180</v>
      </c>
      <c r="F50" s="3">
        <f>SUM(C52:C55)*2</f>
        <v>4180</v>
      </c>
      <c r="G50" s="3">
        <f>SUM(C52:C55)*2</f>
        <v>4180</v>
      </c>
      <c r="H50" s="3">
        <f>SUM(C52:C55)*2</f>
        <v>4180</v>
      </c>
      <c r="I50" s="3">
        <f>SUM(D50:H50)</f>
        <v>20900</v>
      </c>
    </row>
    <row r="51" spans="1:9" ht="14" x14ac:dyDescent="0.15">
      <c r="A51" s="9" t="s">
        <v>57</v>
      </c>
      <c r="B51" s="47" t="s">
        <v>40</v>
      </c>
      <c r="D51" s="3"/>
      <c r="E51" s="3"/>
      <c r="F51" s="3"/>
      <c r="G51" s="3"/>
      <c r="H51" s="3"/>
      <c r="I51" s="3"/>
    </row>
    <row r="52" spans="1:9" x14ac:dyDescent="0.15">
      <c r="B52" s="47" t="s">
        <v>41</v>
      </c>
      <c r="C52" s="48">
        <v>550</v>
      </c>
      <c r="D52" s="3"/>
      <c r="E52" s="3"/>
      <c r="F52" s="3"/>
      <c r="G52" s="3"/>
      <c r="H52" s="3"/>
      <c r="I52" s="3"/>
    </row>
    <row r="53" spans="1:9" ht="28" x14ac:dyDescent="0.15">
      <c r="A53" s="9" t="s">
        <v>73</v>
      </c>
      <c r="B53" s="47" t="s">
        <v>43</v>
      </c>
      <c r="C53" s="48">
        <v>700</v>
      </c>
      <c r="D53" s="3"/>
      <c r="E53" s="3"/>
      <c r="F53" s="3"/>
      <c r="G53" s="3"/>
      <c r="H53" s="3"/>
      <c r="I53" s="3"/>
    </row>
    <row r="54" spans="1:9" x14ac:dyDescent="0.15">
      <c r="B54" s="47" t="s">
        <v>44</v>
      </c>
      <c r="C54" s="48">
        <f>3*180</f>
        <v>540</v>
      </c>
      <c r="D54" s="3"/>
      <c r="E54" s="3"/>
      <c r="F54" s="3"/>
      <c r="G54" s="3"/>
      <c r="H54" s="3"/>
      <c r="I54" s="3"/>
    </row>
    <row r="55" spans="1:9" x14ac:dyDescent="0.15">
      <c r="B55" s="47" t="s">
        <v>42</v>
      </c>
      <c r="C55" s="48">
        <f>75*4</f>
        <v>300</v>
      </c>
      <c r="D55" s="3"/>
      <c r="E55" s="3"/>
      <c r="F55" s="3"/>
      <c r="G55" s="3"/>
      <c r="H55" s="3"/>
      <c r="I55" s="3"/>
    </row>
    <row r="56" spans="1:9" x14ac:dyDescent="0.15">
      <c r="B56" s="47"/>
      <c r="C56" s="48"/>
      <c r="D56" s="3"/>
      <c r="E56" s="3"/>
      <c r="F56" s="3"/>
      <c r="G56" s="3"/>
      <c r="H56" s="3"/>
      <c r="I56" s="3"/>
    </row>
    <row r="57" spans="1:9" ht="14" x14ac:dyDescent="0.15">
      <c r="A57" s="9" t="s">
        <v>58</v>
      </c>
      <c r="B57" s="47" t="s">
        <v>59</v>
      </c>
      <c r="D57" s="3">
        <f>SUM(C58:C62)*2</f>
        <v>5080</v>
      </c>
      <c r="E57" s="3">
        <f>SUM(C58:C62)*2</f>
        <v>5080</v>
      </c>
      <c r="F57" s="3">
        <f>SUM(C58:C62)*2</f>
        <v>5080</v>
      </c>
      <c r="G57" s="3">
        <f>SUM(C58:C62)*2</f>
        <v>5080</v>
      </c>
      <c r="H57" s="3">
        <f>SUM(C58:C62)*2</f>
        <v>5080</v>
      </c>
      <c r="I57" s="3">
        <f>SUM(D57:H57)</f>
        <v>25400</v>
      </c>
    </row>
    <row r="58" spans="1:9" x14ac:dyDescent="0.15">
      <c r="B58" s="47" t="s">
        <v>41</v>
      </c>
      <c r="C58" s="48">
        <v>1000</v>
      </c>
      <c r="D58" s="3"/>
      <c r="E58" s="3"/>
      <c r="F58" s="3"/>
      <c r="G58" s="3"/>
      <c r="H58" s="3"/>
      <c r="I58" s="3"/>
    </row>
    <row r="59" spans="1:9" ht="28" x14ac:dyDescent="0.15">
      <c r="A59" s="9" t="s">
        <v>73</v>
      </c>
      <c r="B59" s="47" t="s">
        <v>43</v>
      </c>
      <c r="C59" s="48">
        <v>700</v>
      </c>
      <c r="D59" s="3"/>
      <c r="E59" s="3"/>
      <c r="F59" s="3"/>
      <c r="G59" s="3"/>
      <c r="H59" s="3"/>
      <c r="I59" s="3"/>
    </row>
    <row r="60" spans="1:9" x14ac:dyDescent="0.15">
      <c r="B60" s="47" t="s">
        <v>44</v>
      </c>
      <c r="C60" s="48">
        <f>3*180</f>
        <v>540</v>
      </c>
      <c r="D60" s="3"/>
      <c r="E60" s="3"/>
      <c r="F60" s="3"/>
      <c r="G60" s="3"/>
      <c r="H60" s="3"/>
      <c r="I60" s="3"/>
    </row>
    <row r="61" spans="1:9" x14ac:dyDescent="0.15">
      <c r="B61" s="47" t="s">
        <v>42</v>
      </c>
      <c r="C61" s="48">
        <f>75*4</f>
        <v>300</v>
      </c>
      <c r="D61" s="3"/>
      <c r="E61" s="3"/>
      <c r="F61" s="3"/>
      <c r="G61" s="3"/>
      <c r="H61" s="3"/>
      <c r="I61" s="3"/>
    </row>
    <row r="62" spans="1:9" x14ac:dyDescent="0.15">
      <c r="B62" s="36"/>
      <c r="D62" s="3"/>
      <c r="E62" s="3"/>
      <c r="F62" s="3"/>
      <c r="G62" s="3"/>
      <c r="H62" s="3"/>
      <c r="I62" s="3"/>
    </row>
    <row r="63" spans="1:9" x14ac:dyDescent="0.15">
      <c r="B63" s="1" t="s">
        <v>29</v>
      </c>
      <c r="D63" s="3"/>
      <c r="E63" s="3"/>
      <c r="F63" s="3"/>
      <c r="G63" s="3"/>
      <c r="H63" s="3"/>
      <c r="I63" s="3"/>
    </row>
    <row r="64" spans="1:9" ht="28" x14ac:dyDescent="0.15">
      <c r="A64" s="9" t="s">
        <v>67</v>
      </c>
      <c r="B64" s="36" t="s">
        <v>30</v>
      </c>
      <c r="D64" s="3">
        <v>25000</v>
      </c>
      <c r="E64" s="3"/>
      <c r="F64" s="3"/>
      <c r="G64" s="3"/>
      <c r="H64" s="3"/>
      <c r="I64" s="3">
        <f>SUM(D64:H64)</f>
        <v>25000</v>
      </c>
    </row>
    <row r="65" spans="1:9" ht="28" x14ac:dyDescent="0.15">
      <c r="A65" s="9" t="s">
        <v>67</v>
      </c>
      <c r="B65" s="36" t="s">
        <v>31</v>
      </c>
      <c r="D65" s="3">
        <v>75000</v>
      </c>
      <c r="E65" s="3">
        <v>100000</v>
      </c>
      <c r="F65" s="3">
        <v>100000</v>
      </c>
      <c r="G65" s="3">
        <v>100000</v>
      </c>
      <c r="H65" s="3">
        <v>100000</v>
      </c>
      <c r="I65" s="3">
        <f>SUM(D65:H65)</f>
        <v>475000</v>
      </c>
    </row>
    <row r="66" spans="1:9" x14ac:dyDescent="0.15">
      <c r="B66" s="36"/>
      <c r="D66" s="3"/>
      <c r="E66" s="3"/>
      <c r="F66" s="3"/>
      <c r="G66" s="3"/>
      <c r="H66" s="3"/>
      <c r="I66" s="3"/>
    </row>
    <row r="67" spans="1:9" ht="14" x14ac:dyDescent="0.15">
      <c r="A67" s="9" t="s">
        <v>60</v>
      </c>
      <c r="B67" s="1" t="s">
        <v>28</v>
      </c>
      <c r="D67" s="43">
        <f>SUM((2424*6/12*10.5)+(2424*1.04*6/12*1.5))</f>
        <v>14616.72</v>
      </c>
      <c r="E67" s="3">
        <f>D67*1.04</f>
        <v>15201.388800000001</v>
      </c>
      <c r="F67" s="3">
        <f t="shared" ref="F67:H67" si="6">E67*1.04</f>
        <v>15809.444352</v>
      </c>
      <c r="G67" s="3">
        <f t="shared" si="6"/>
        <v>16441.822126080002</v>
      </c>
      <c r="H67" s="3">
        <f t="shared" si="6"/>
        <v>17099.495011123203</v>
      </c>
      <c r="I67" s="31">
        <f>SUM(D67:H67)</f>
        <v>79168.870289203202</v>
      </c>
    </row>
    <row r="68" spans="1:9" x14ac:dyDescent="0.15">
      <c r="B68" s="47" t="s">
        <v>92</v>
      </c>
      <c r="D68" s="43"/>
      <c r="E68" s="3"/>
      <c r="F68" s="3"/>
      <c r="G68" s="3"/>
      <c r="H68" s="3"/>
      <c r="I68" s="3"/>
    </row>
    <row r="69" spans="1:9" x14ac:dyDescent="0.15">
      <c r="B69" s="36"/>
      <c r="D69" s="3"/>
      <c r="E69" s="3"/>
      <c r="F69" s="3"/>
      <c r="G69" s="3"/>
      <c r="H69" s="3"/>
      <c r="I69" s="3"/>
    </row>
    <row r="70" spans="1:9" ht="14" x14ac:dyDescent="0.15">
      <c r="A70" s="9" t="s">
        <v>61</v>
      </c>
      <c r="B70" s="37" t="s">
        <v>33</v>
      </c>
      <c r="C70" s="27"/>
      <c r="D70" s="2">
        <v>20000</v>
      </c>
      <c r="E70" s="2"/>
      <c r="F70" s="2">
        <v>25000</v>
      </c>
      <c r="G70" s="2"/>
      <c r="H70" s="2"/>
      <c r="I70" s="31">
        <f>SUM(D70:H70)</f>
        <v>45000</v>
      </c>
    </row>
    <row r="71" spans="1:9" x14ac:dyDescent="0.15">
      <c r="B71" s="32" t="s">
        <v>34</v>
      </c>
      <c r="C71" s="27"/>
      <c r="D71" s="2"/>
      <c r="E71" s="2"/>
      <c r="F71" s="2"/>
      <c r="G71" s="2"/>
      <c r="H71" s="2"/>
      <c r="I71" s="31"/>
    </row>
    <row r="72" spans="1:9" x14ac:dyDescent="0.15">
      <c r="B72" s="38"/>
      <c r="C72" s="27"/>
      <c r="D72" s="2"/>
      <c r="E72" s="2"/>
      <c r="F72" s="2"/>
      <c r="G72" s="2"/>
      <c r="H72" s="2"/>
      <c r="I72" s="2"/>
    </row>
    <row r="73" spans="1:9" x14ac:dyDescent="0.15">
      <c r="B73" t="s">
        <v>4</v>
      </c>
      <c r="D73" s="8">
        <f>SUM(D40:D70)</f>
        <v>338769.60027777776</v>
      </c>
      <c r="E73" s="8">
        <f>SUM(E40:E70)</f>
        <v>326821.98428888893</v>
      </c>
      <c r="F73" s="8">
        <f>SUM(F40:F70)</f>
        <v>360196.46366044448</v>
      </c>
      <c r="G73" s="8">
        <f>SUM(G40:G70)</f>
        <v>343905.92220686219</v>
      </c>
      <c r="H73" s="8">
        <f>SUM(H40:H70)</f>
        <v>352963.75909513672</v>
      </c>
      <c r="I73" s="8">
        <f>SUM(I40:I70)</f>
        <v>1722657.7295291102</v>
      </c>
    </row>
    <row r="74" spans="1:9" x14ac:dyDescent="0.15">
      <c r="D74" s="3"/>
      <c r="E74" s="3"/>
      <c r="F74" s="3"/>
      <c r="G74" s="3"/>
      <c r="H74" s="3"/>
      <c r="I74" s="3"/>
    </row>
    <row r="75" spans="1:9" x14ac:dyDescent="0.15">
      <c r="B75" t="s">
        <v>32</v>
      </c>
      <c r="D75" s="3"/>
      <c r="E75" s="3"/>
      <c r="F75" s="3"/>
      <c r="G75" s="3"/>
      <c r="H75" s="3"/>
      <c r="I75" s="3"/>
    </row>
    <row r="76" spans="1:9" s="16" customFormat="1" x14ac:dyDescent="0.15">
      <c r="A76" s="54"/>
      <c r="B76" s="49" t="s">
        <v>79</v>
      </c>
      <c r="C76" s="26"/>
      <c r="D76" s="17">
        <f>(D73-D46-D65-D67-D70)/12*9</f>
        <v>167589.66020833331</v>
      </c>
      <c r="E76" s="17">
        <v>0</v>
      </c>
      <c r="F76" s="17">
        <v>0</v>
      </c>
      <c r="G76" s="17">
        <v>0</v>
      </c>
      <c r="H76" s="17">
        <v>0</v>
      </c>
      <c r="I76" s="17">
        <f>SUM(D76:H76)</f>
        <v>167589.66020833331</v>
      </c>
    </row>
    <row r="77" spans="1:9" s="16" customFormat="1" x14ac:dyDescent="0.15">
      <c r="A77" s="54"/>
      <c r="B77" s="49" t="s">
        <v>80</v>
      </c>
      <c r="C77" s="26"/>
      <c r="D77" s="17">
        <f>(D73-D46-D65-D67-D70)/12*3</f>
        <v>55863.22006944444</v>
      </c>
      <c r="E77" s="17">
        <f>E73-E46-E65-E67-E70</f>
        <v>205920.59548888891</v>
      </c>
      <c r="F77" s="17">
        <f t="shared" ref="F77:H77" si="7">F73-F46-F65-F67-F70</f>
        <v>213687.01930844449</v>
      </c>
      <c r="G77" s="17">
        <f t="shared" si="7"/>
        <v>221764.1000807822</v>
      </c>
      <c r="H77" s="17">
        <f t="shared" si="7"/>
        <v>230164.26408401353</v>
      </c>
      <c r="I77" s="17">
        <f>SUM(D77:H77)</f>
        <v>927399.1990315736</v>
      </c>
    </row>
    <row r="78" spans="1:9" s="16" customFormat="1" x14ac:dyDescent="0.15">
      <c r="A78" s="54"/>
      <c r="B78" s="40" t="s">
        <v>36</v>
      </c>
      <c r="C78" s="39"/>
      <c r="D78" s="41">
        <f>SUM(D76:D77)</f>
        <v>223452.88027777776</v>
      </c>
      <c r="E78" s="41">
        <f t="shared" ref="E78:H78" si="8">SUM(E76:E77)</f>
        <v>205920.59548888891</v>
      </c>
      <c r="F78" s="41">
        <f t="shared" si="8"/>
        <v>213687.01930844449</v>
      </c>
      <c r="G78" s="41">
        <f t="shared" si="8"/>
        <v>221764.1000807822</v>
      </c>
      <c r="H78" s="41">
        <f t="shared" si="8"/>
        <v>230164.26408401353</v>
      </c>
      <c r="I78" s="41">
        <f>SUM(I76:I77)</f>
        <v>1094988.859239907</v>
      </c>
    </row>
    <row r="79" spans="1:9" x14ac:dyDescent="0.15">
      <c r="D79" s="3"/>
      <c r="E79" s="3"/>
      <c r="F79" s="3"/>
      <c r="G79" s="3"/>
      <c r="H79" s="3"/>
      <c r="I79" s="3"/>
    </row>
    <row r="80" spans="1:9" ht="28" x14ac:dyDescent="0.15">
      <c r="A80" s="9" t="s">
        <v>62</v>
      </c>
      <c r="B80" s="1" t="s">
        <v>49</v>
      </c>
      <c r="C80" s="22"/>
      <c r="D80" s="2"/>
      <c r="E80" s="2"/>
      <c r="F80" s="2"/>
      <c r="G80" s="2"/>
      <c r="H80" s="2"/>
      <c r="I80" s="2"/>
    </row>
    <row r="81" spans="2:10" x14ac:dyDescent="0.15">
      <c r="B81" s="49" t="s">
        <v>79</v>
      </c>
      <c r="C81" s="15">
        <v>0.65500000000000003</v>
      </c>
      <c r="D81" s="2">
        <f>D76*$C$81</f>
        <v>109771.22743645833</v>
      </c>
      <c r="E81" s="2">
        <f t="shared" ref="E81:H81" si="9">E76*D81</f>
        <v>0</v>
      </c>
      <c r="F81" s="2">
        <f t="shared" si="9"/>
        <v>0</v>
      </c>
      <c r="G81" s="2">
        <f t="shared" si="9"/>
        <v>0</v>
      </c>
      <c r="H81" s="2">
        <f t="shared" si="9"/>
        <v>0</v>
      </c>
      <c r="I81" s="2">
        <f>SUM(D81:H81)</f>
        <v>109771.22743645833</v>
      </c>
      <c r="J81" s="11"/>
    </row>
    <row r="82" spans="2:10" x14ac:dyDescent="0.15">
      <c r="B82" s="49" t="s">
        <v>80</v>
      </c>
      <c r="C82" s="15">
        <v>0.66</v>
      </c>
      <c r="D82" s="2">
        <f>D77*$C$82</f>
        <v>36869.725245833331</v>
      </c>
      <c r="E82" s="2">
        <f t="shared" ref="E82:H82" si="10">E77*$C$82</f>
        <v>135907.5930226667</v>
      </c>
      <c r="F82" s="2">
        <f t="shared" si="10"/>
        <v>141033.43274357336</v>
      </c>
      <c r="G82" s="2">
        <f t="shared" si="10"/>
        <v>146364.30605331625</v>
      </c>
      <c r="H82" s="2">
        <f t="shared" si="10"/>
        <v>151908.41429544892</v>
      </c>
      <c r="I82" s="2">
        <f>SUM(D82:H82)</f>
        <v>612083.47136083851</v>
      </c>
      <c r="J82" s="11"/>
    </row>
    <row r="83" spans="2:10" x14ac:dyDescent="0.15">
      <c r="B83" t="s">
        <v>52</v>
      </c>
      <c r="D83" s="4">
        <f>SUM(D80:D82)</f>
        <v>146640.95268229165</v>
      </c>
      <c r="E83" s="4">
        <f t="shared" ref="E83:H83" si="11">SUM(E80:E82)</f>
        <v>135907.5930226667</v>
      </c>
      <c r="F83" s="4">
        <f t="shared" si="11"/>
        <v>141033.43274357336</v>
      </c>
      <c r="G83" s="4">
        <f t="shared" si="11"/>
        <v>146364.30605331625</v>
      </c>
      <c r="H83" s="4">
        <f t="shared" si="11"/>
        <v>151908.41429544892</v>
      </c>
      <c r="I83" s="4">
        <f>SUM(I80:I82)</f>
        <v>721854.69879729685</v>
      </c>
      <c r="J83" s="11"/>
    </row>
    <row r="84" spans="2:10" x14ac:dyDescent="0.15">
      <c r="D84" s="2"/>
      <c r="E84" s="2"/>
      <c r="F84" s="2"/>
      <c r="G84" s="2"/>
      <c r="H84" s="2"/>
      <c r="I84" s="2"/>
    </row>
    <row r="85" spans="2:10" ht="14" thickBot="1" x14ac:dyDescent="0.2">
      <c r="B85" s="1" t="s">
        <v>35</v>
      </c>
      <c r="C85" s="22"/>
      <c r="D85" s="6">
        <f>D83+D73</f>
        <v>485410.55296006938</v>
      </c>
      <c r="E85" s="6">
        <f>E83+E73</f>
        <v>462729.57731155562</v>
      </c>
      <c r="F85" s="6">
        <f>F83+F73</f>
        <v>501229.89640401781</v>
      </c>
      <c r="G85" s="6">
        <f>G83+G73</f>
        <v>490270.22826017847</v>
      </c>
      <c r="H85" s="6">
        <f>H83+H73</f>
        <v>504872.17339058564</v>
      </c>
      <c r="I85" s="6">
        <f>SUM(D85:H85)</f>
        <v>2444512.428326407</v>
      </c>
    </row>
    <row r="86" spans="2:10" ht="14" thickTop="1" x14ac:dyDescent="0.15">
      <c r="D86" s="3"/>
      <c r="E86" s="3"/>
      <c r="F86" s="3"/>
      <c r="G86" s="3"/>
      <c r="H86" s="3"/>
      <c r="I86" s="3"/>
    </row>
    <row r="87" spans="2:10" x14ac:dyDescent="0.15">
      <c r="B87" t="s">
        <v>15</v>
      </c>
    </row>
    <row r="88" spans="2:10" x14ac:dyDescent="0.15">
      <c r="B88" s="44" t="s">
        <v>89</v>
      </c>
    </row>
    <row r="89" spans="2:10" x14ac:dyDescent="0.15">
      <c r="B89" s="44" t="s">
        <v>90</v>
      </c>
    </row>
    <row r="90" spans="2:10" x14ac:dyDescent="0.15">
      <c r="B90" s="44" t="s">
        <v>81</v>
      </c>
    </row>
    <row r="91" spans="2:10" x14ac:dyDescent="0.15">
      <c r="B91" s="44" t="s">
        <v>68</v>
      </c>
    </row>
    <row r="92" spans="2:10" x14ac:dyDescent="0.15">
      <c r="B92" s="44" t="s">
        <v>82</v>
      </c>
    </row>
    <row r="94" spans="2:10" x14ac:dyDescent="0.15">
      <c r="B94" s="44" t="s">
        <v>83</v>
      </c>
    </row>
    <row r="95" spans="2:10" x14ac:dyDescent="0.15">
      <c r="B95" s="44" t="s">
        <v>51</v>
      </c>
    </row>
    <row r="97" spans="2:4" x14ac:dyDescent="0.15">
      <c r="B97" t="s">
        <v>16</v>
      </c>
    </row>
    <row r="98" spans="2:4" x14ac:dyDescent="0.15">
      <c r="B98" s="44" t="s">
        <v>74</v>
      </c>
      <c r="C98" s="23">
        <v>0.34300000000000003</v>
      </c>
      <c r="D98" s="7" t="s">
        <v>39</v>
      </c>
    </row>
    <row r="99" spans="2:4" x14ac:dyDescent="0.15">
      <c r="B99" s="44" t="s">
        <v>74</v>
      </c>
      <c r="C99" s="23">
        <v>0.245</v>
      </c>
      <c r="D99" s="7" t="s">
        <v>48</v>
      </c>
    </row>
    <row r="100" spans="2:4" x14ac:dyDescent="0.15">
      <c r="B100" s="44"/>
      <c r="D100" s="7"/>
    </row>
    <row r="101" spans="2:4" x14ac:dyDescent="0.15">
      <c r="B101" t="s">
        <v>50</v>
      </c>
      <c r="D101" s="7"/>
    </row>
    <row r="102" spans="2:4" x14ac:dyDescent="0.15">
      <c r="B102" s="50" t="s">
        <v>84</v>
      </c>
      <c r="C102" s="23">
        <v>0.65500000000000003</v>
      </c>
      <c r="D102" t="s">
        <v>17</v>
      </c>
    </row>
    <row r="103" spans="2:4" x14ac:dyDescent="0.15">
      <c r="B103" s="50" t="s">
        <v>85</v>
      </c>
      <c r="C103" s="23">
        <v>0.66</v>
      </c>
      <c r="D103" s="7" t="s">
        <v>18</v>
      </c>
    </row>
  </sheetData>
  <phoneticPr fontId="0" type="noConversion"/>
  <pageMargins left="0.5" right="0.5" top="0.5" bottom="0.5" header="0.32" footer="0.17"/>
  <pageSetup scale="8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8EDED-A87F-354C-99AB-6762CE9E7B4D}">
  <sheetPr>
    <pageSetUpPr fitToPage="1"/>
  </sheetPr>
  <dimension ref="A1:I49"/>
  <sheetViews>
    <sheetView zoomScale="135" zoomScaleNormal="120" workbookViewId="0">
      <pane ySplit="7" topLeftCell="A8" activePane="bottomLeft" state="frozen"/>
      <selection pane="bottomLeft" activeCell="G34" sqref="G34"/>
    </sheetView>
  </sheetViews>
  <sheetFormatPr baseColWidth="10" defaultColWidth="11.5" defaultRowHeight="13" x14ac:dyDescent="0.15"/>
  <cols>
    <col min="1" max="1" width="14.6640625" style="9" customWidth="1"/>
    <col min="2" max="2" width="28.5" customWidth="1"/>
    <col min="3" max="3" width="8.83203125" style="23" customWidth="1"/>
    <col min="4" max="4" width="11.6640625" customWidth="1"/>
    <col min="5" max="5" width="12" customWidth="1"/>
    <col min="6" max="6" width="12.33203125" customWidth="1"/>
    <col min="7" max="7" width="13.6640625" customWidth="1"/>
    <col min="8" max="8" width="13.1640625" customWidth="1"/>
    <col min="9" max="9" width="15.6640625" customWidth="1"/>
    <col min="10" max="10" width="9.1640625" customWidth="1"/>
  </cols>
  <sheetData>
    <row r="1" spans="1:9" s="30" customFormat="1" ht="16" x14ac:dyDescent="0.2">
      <c r="A1" s="51"/>
      <c r="B1" s="28" t="s">
        <v>0</v>
      </c>
      <c r="C1" s="29"/>
    </row>
    <row r="3" spans="1:9" x14ac:dyDescent="0.15">
      <c r="B3" s="1" t="s">
        <v>21</v>
      </c>
      <c r="C3" s="21"/>
    </row>
    <row r="4" spans="1:9" x14ac:dyDescent="0.15">
      <c r="B4" s="1" t="s">
        <v>27</v>
      </c>
      <c r="C4" s="22"/>
      <c r="D4" s="3"/>
      <c r="E4" s="3"/>
      <c r="F4" s="3"/>
      <c r="G4" s="3"/>
      <c r="H4" s="3"/>
      <c r="I4" s="3"/>
    </row>
    <row r="5" spans="1:9" x14ac:dyDescent="0.15">
      <c r="B5" s="45" t="s">
        <v>75</v>
      </c>
      <c r="C5" s="21"/>
      <c r="I5" s="3"/>
    </row>
    <row r="6" spans="1:9" x14ac:dyDescent="0.15">
      <c r="D6" s="2"/>
      <c r="E6" s="2"/>
      <c r="F6" s="2"/>
      <c r="G6" s="2"/>
      <c r="H6" s="2"/>
      <c r="I6" s="2"/>
    </row>
    <row r="7" spans="1:9" s="9" customFormat="1" ht="28" x14ac:dyDescent="0.15">
      <c r="A7" s="9" t="s">
        <v>54</v>
      </c>
      <c r="B7" s="12"/>
      <c r="C7" s="24" t="s">
        <v>1</v>
      </c>
      <c r="D7" s="46" t="s">
        <v>46</v>
      </c>
      <c r="E7" s="46" t="s">
        <v>47</v>
      </c>
      <c r="F7" s="46" t="s">
        <v>53</v>
      </c>
      <c r="G7" s="46" t="s">
        <v>69</v>
      </c>
      <c r="H7" s="46" t="s">
        <v>76</v>
      </c>
      <c r="I7" s="10" t="s">
        <v>3</v>
      </c>
    </row>
    <row r="8" spans="1:9" s="9" customFormat="1" x14ac:dyDescent="0.15">
      <c r="B8" s="56"/>
      <c r="C8" s="25"/>
      <c r="D8" s="57"/>
      <c r="E8" s="57"/>
      <c r="F8" s="57"/>
      <c r="G8" s="57"/>
      <c r="H8" s="57"/>
      <c r="I8" s="20"/>
    </row>
    <row r="9" spans="1:9" x14ac:dyDescent="0.15">
      <c r="B9" s="13" t="s">
        <v>93</v>
      </c>
      <c r="C9" s="22"/>
      <c r="D9" s="14"/>
      <c r="E9" s="14"/>
      <c r="F9" s="14"/>
      <c r="G9" s="14"/>
      <c r="H9" s="14"/>
      <c r="I9" s="3"/>
    </row>
    <row r="10" spans="1:9" x14ac:dyDescent="0.15">
      <c r="B10" s="1" t="s">
        <v>98</v>
      </c>
      <c r="C10" s="22"/>
    </row>
    <row r="11" spans="1:9" x14ac:dyDescent="0.15">
      <c r="B11" s="5" t="s">
        <v>97</v>
      </c>
      <c r="C11" s="22"/>
      <c r="D11" s="3">
        <f>20*250</f>
        <v>5000</v>
      </c>
      <c r="E11" s="3">
        <f>D11</f>
        <v>5000</v>
      </c>
      <c r="F11" s="3">
        <f t="shared" ref="F11:H11" si="0">E11</f>
        <v>5000</v>
      </c>
      <c r="G11" s="3">
        <f t="shared" si="0"/>
        <v>5000</v>
      </c>
      <c r="H11" s="3">
        <f t="shared" si="0"/>
        <v>5000</v>
      </c>
      <c r="I11" s="3">
        <f>SUM(D11:H11)</f>
        <v>25000</v>
      </c>
    </row>
    <row r="12" spans="1:9" x14ac:dyDescent="0.15">
      <c r="B12" s="5"/>
      <c r="C12" s="27"/>
      <c r="D12" s="3"/>
      <c r="E12" s="3"/>
      <c r="F12" s="3"/>
      <c r="G12" s="3"/>
      <c r="H12" s="3"/>
      <c r="I12" s="3"/>
    </row>
    <row r="13" spans="1:9" x14ac:dyDescent="0.15">
      <c r="B13" s="5"/>
      <c r="C13" s="27"/>
      <c r="D13" s="3"/>
      <c r="E13" s="3"/>
      <c r="F13" s="3"/>
      <c r="G13" s="3"/>
      <c r="H13" s="3"/>
      <c r="I13" s="3"/>
    </row>
    <row r="14" spans="1:9" x14ac:dyDescent="0.15">
      <c r="B14" s="1" t="s">
        <v>13</v>
      </c>
      <c r="C14" s="27"/>
      <c r="D14" s="3">
        <v>700</v>
      </c>
      <c r="E14" s="3">
        <f>D14</f>
        <v>700</v>
      </c>
      <c r="F14" s="3">
        <f t="shared" ref="F14:H14" si="1">E14</f>
        <v>700</v>
      </c>
      <c r="G14" s="3">
        <f t="shared" si="1"/>
        <v>700</v>
      </c>
      <c r="H14" s="3">
        <f t="shared" si="1"/>
        <v>700</v>
      </c>
      <c r="I14" s="3">
        <f>SUM(D14:H14)</f>
        <v>3500</v>
      </c>
    </row>
    <row r="15" spans="1:9" ht="14" x14ac:dyDescent="0.15">
      <c r="A15" s="9" t="s">
        <v>57</v>
      </c>
      <c r="B15" s="47" t="s">
        <v>94</v>
      </c>
      <c r="D15" s="3"/>
      <c r="E15" s="3"/>
      <c r="F15" s="3"/>
      <c r="G15" s="3"/>
      <c r="H15" s="3"/>
      <c r="I15" s="3"/>
    </row>
    <row r="16" spans="1:9" x14ac:dyDescent="0.15">
      <c r="B16" s="47" t="s">
        <v>95</v>
      </c>
      <c r="C16" s="48">
        <v>700</v>
      </c>
      <c r="D16" s="3"/>
      <c r="E16" s="3"/>
      <c r="F16" s="3"/>
      <c r="G16" s="3"/>
      <c r="H16" s="3"/>
      <c r="I16" s="3"/>
    </row>
    <row r="17" spans="2:9" x14ac:dyDescent="0.15">
      <c r="B17" s="47"/>
      <c r="C17" s="48"/>
      <c r="D17" s="3"/>
      <c r="E17" s="3"/>
      <c r="F17" s="3"/>
      <c r="G17" s="3"/>
      <c r="H17" s="3"/>
      <c r="I17" s="3"/>
    </row>
    <row r="18" spans="2:9" hidden="1" x14ac:dyDescent="0.15">
      <c r="B18" s="36"/>
      <c r="D18" s="3"/>
      <c r="E18" s="3"/>
      <c r="F18" s="3"/>
      <c r="G18" s="3"/>
      <c r="H18" s="3"/>
      <c r="I18" s="3"/>
    </row>
    <row r="19" spans="2:9" hidden="1" x14ac:dyDescent="0.15">
      <c r="B19" s="1"/>
      <c r="D19" s="3"/>
      <c r="E19" s="3"/>
      <c r="F19" s="3"/>
      <c r="G19" s="3"/>
      <c r="H19" s="3"/>
      <c r="I19" s="3"/>
    </row>
    <row r="20" spans="2:9" hidden="1" x14ac:dyDescent="0.15">
      <c r="B20" s="36"/>
      <c r="D20" s="3"/>
      <c r="E20" s="3"/>
      <c r="F20" s="3"/>
      <c r="G20" s="3"/>
      <c r="H20" s="3"/>
      <c r="I20" s="3"/>
    </row>
    <row r="21" spans="2:9" hidden="1" x14ac:dyDescent="0.15">
      <c r="B21" s="36"/>
      <c r="D21" s="3"/>
      <c r="E21" s="3"/>
      <c r="F21" s="3"/>
      <c r="G21" s="3"/>
      <c r="H21" s="3"/>
      <c r="I21" s="3"/>
    </row>
    <row r="22" spans="2:9" hidden="1" x14ac:dyDescent="0.15">
      <c r="B22" s="36"/>
      <c r="D22" s="3"/>
      <c r="E22" s="3"/>
      <c r="F22" s="3"/>
      <c r="G22" s="3"/>
      <c r="H22" s="3"/>
      <c r="I22" s="3"/>
    </row>
    <row r="23" spans="2:9" hidden="1" x14ac:dyDescent="0.15">
      <c r="B23" s="1"/>
      <c r="D23" s="43"/>
      <c r="E23" s="3"/>
      <c r="F23" s="3"/>
      <c r="G23" s="3"/>
      <c r="H23" s="3"/>
      <c r="I23" s="31"/>
    </row>
    <row r="24" spans="2:9" hidden="1" x14ac:dyDescent="0.15">
      <c r="B24" s="47"/>
      <c r="D24" s="43"/>
      <c r="E24" s="3"/>
      <c r="F24" s="3"/>
      <c r="G24" s="3"/>
      <c r="H24" s="3"/>
      <c r="I24" s="3"/>
    </row>
    <row r="25" spans="2:9" hidden="1" x14ac:dyDescent="0.15">
      <c r="B25" s="36"/>
      <c r="D25" s="3"/>
      <c r="E25" s="3"/>
      <c r="F25" s="3"/>
      <c r="G25" s="3"/>
      <c r="H25" s="3"/>
      <c r="I25" s="3"/>
    </row>
    <row r="26" spans="2:9" hidden="1" x14ac:dyDescent="0.15">
      <c r="B26" s="37"/>
      <c r="C26" s="27"/>
      <c r="D26" s="2"/>
      <c r="E26" s="2"/>
      <c r="F26" s="2"/>
      <c r="G26" s="2"/>
      <c r="H26" s="2"/>
      <c r="I26" s="31"/>
    </row>
    <row r="27" spans="2:9" hidden="1" x14ac:dyDescent="0.15">
      <c r="B27" s="32"/>
      <c r="C27" s="27"/>
      <c r="D27" s="2"/>
      <c r="E27" s="2"/>
      <c r="F27" s="2"/>
      <c r="G27" s="2"/>
      <c r="H27" s="2"/>
      <c r="I27" s="31"/>
    </row>
    <row r="28" spans="2:9" x14ac:dyDescent="0.15">
      <c r="B28" s="38"/>
      <c r="C28" s="27"/>
      <c r="D28" s="2"/>
      <c r="E28" s="2"/>
      <c r="F28" s="2"/>
      <c r="G28" s="2"/>
      <c r="H28" s="2"/>
      <c r="I28" s="2"/>
    </row>
    <row r="29" spans="2:9" x14ac:dyDescent="0.15">
      <c r="B29" t="s">
        <v>4</v>
      </c>
      <c r="D29" s="8">
        <f>SUM(D9:D26)</f>
        <v>5700</v>
      </c>
      <c r="E29" s="8">
        <f>SUM(E9:E26)</f>
        <v>5700</v>
      </c>
      <c r="F29" s="8">
        <f>SUM(F9:F26)</f>
        <v>5700</v>
      </c>
      <c r="G29" s="8">
        <f>SUM(G9:G26)</f>
        <v>5700</v>
      </c>
      <c r="H29" s="8">
        <f>SUM(H9:H26)</f>
        <v>5700</v>
      </c>
      <c r="I29" s="8">
        <f>SUM(I9:I26)</f>
        <v>28500</v>
      </c>
    </row>
    <row r="30" spans="2:9" x14ac:dyDescent="0.15">
      <c r="D30" s="3"/>
      <c r="E30" s="3"/>
      <c r="F30" s="3"/>
      <c r="G30" s="3"/>
      <c r="H30" s="3"/>
      <c r="I30" s="3"/>
    </row>
    <row r="31" spans="2:9" ht="14" thickBot="1" x14ac:dyDescent="0.2">
      <c r="B31" s="1" t="s">
        <v>35</v>
      </c>
      <c r="C31" s="22"/>
      <c r="D31" s="6">
        <f>D29</f>
        <v>5700</v>
      </c>
      <c r="E31" s="6">
        <f t="shared" ref="E31:H31" si="2">E29</f>
        <v>5700</v>
      </c>
      <c r="F31" s="6">
        <f t="shared" si="2"/>
        <v>5700</v>
      </c>
      <c r="G31" s="6">
        <f t="shared" si="2"/>
        <v>5700</v>
      </c>
      <c r="H31" s="6">
        <f t="shared" si="2"/>
        <v>5700</v>
      </c>
      <c r="I31" s="6">
        <f>SUM(D31:H31)</f>
        <v>28500</v>
      </c>
    </row>
    <row r="32" spans="2:9" ht="14" thickTop="1" x14ac:dyDescent="0.15">
      <c r="D32" s="3"/>
      <c r="E32" s="3"/>
      <c r="F32" s="3"/>
      <c r="G32" s="3"/>
      <c r="H32" s="3"/>
      <c r="I32" s="3"/>
    </row>
    <row r="33" spans="2:4" x14ac:dyDescent="0.15">
      <c r="B33" t="s">
        <v>15</v>
      </c>
    </row>
    <row r="34" spans="2:4" x14ac:dyDescent="0.15">
      <c r="B34" s="44" t="s">
        <v>89</v>
      </c>
    </row>
    <row r="35" spans="2:4" x14ac:dyDescent="0.15">
      <c r="B35" s="44" t="s">
        <v>90</v>
      </c>
    </row>
    <row r="36" spans="2:4" x14ac:dyDescent="0.15">
      <c r="B36" s="44" t="s">
        <v>81</v>
      </c>
    </row>
    <row r="37" spans="2:4" x14ac:dyDescent="0.15">
      <c r="B37" s="44" t="s">
        <v>68</v>
      </c>
    </row>
    <row r="38" spans="2:4" x14ac:dyDescent="0.15">
      <c r="B38" s="44" t="s">
        <v>82</v>
      </c>
    </row>
    <row r="40" spans="2:4" x14ac:dyDescent="0.15">
      <c r="B40" s="44" t="s">
        <v>83</v>
      </c>
    </row>
    <row r="41" spans="2:4" x14ac:dyDescent="0.15">
      <c r="B41" s="44" t="s">
        <v>51</v>
      </c>
    </row>
    <row r="43" spans="2:4" x14ac:dyDescent="0.15">
      <c r="B43" t="s">
        <v>16</v>
      </c>
    </row>
    <row r="44" spans="2:4" x14ac:dyDescent="0.15">
      <c r="B44" s="44" t="s">
        <v>74</v>
      </c>
      <c r="C44" s="23">
        <v>0.34300000000000003</v>
      </c>
      <c r="D44" s="7" t="s">
        <v>39</v>
      </c>
    </row>
    <row r="45" spans="2:4" x14ac:dyDescent="0.15">
      <c r="B45" s="44" t="s">
        <v>74</v>
      </c>
      <c r="C45" s="23">
        <v>0.245</v>
      </c>
      <c r="D45" s="7" t="s">
        <v>48</v>
      </c>
    </row>
    <row r="46" spans="2:4" x14ac:dyDescent="0.15">
      <c r="B46" s="44"/>
      <c r="D46" s="7"/>
    </row>
    <row r="47" spans="2:4" x14ac:dyDescent="0.15">
      <c r="B47" t="s">
        <v>50</v>
      </c>
      <c r="D47" s="7"/>
    </row>
    <row r="48" spans="2:4" x14ac:dyDescent="0.15">
      <c r="B48" s="50" t="s">
        <v>84</v>
      </c>
      <c r="C48" s="23">
        <v>0.65500000000000003</v>
      </c>
      <c r="D48" t="s">
        <v>17</v>
      </c>
    </row>
    <row r="49" spans="2:4" x14ac:dyDescent="0.15">
      <c r="B49" s="50" t="s">
        <v>85</v>
      </c>
      <c r="C49" s="23">
        <v>0.66</v>
      </c>
      <c r="D49" s="7" t="s">
        <v>18</v>
      </c>
    </row>
  </sheetData>
  <pageMargins left="0.5" right="0.5" top="0.5" bottom="0.5" header="0.32" footer="0.17"/>
  <pageSetup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Standard</vt:lpstr>
      <vt:lpstr>Participant Support</vt:lpstr>
      <vt:lpstr>'Participant Support'!Print_Titles</vt:lpstr>
      <vt:lpstr>Standard!Print_Titles</vt:lpstr>
    </vt:vector>
  </TitlesOfParts>
  <Company>USC EFO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Page 1</dc:title>
  <dc:creator>slf</dc:creator>
  <cp:lastModifiedBy>Microsoft Office User</cp:lastModifiedBy>
  <cp:lastPrinted>2008-11-06T22:21:48Z</cp:lastPrinted>
  <dcterms:created xsi:type="dcterms:W3CDTF">2001-01-26T23:48:01Z</dcterms:created>
  <dcterms:modified xsi:type="dcterms:W3CDTF">2023-05-09T14:06:34Z</dcterms:modified>
</cp:coreProperties>
</file>